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r31vTOkOBT2KBVlAn2aCrgeCssJ3LZVB+ik/rQD8luNwg+yZAE3tI7BOKePxKqp0bbJXrlscK+dmmMvPqV0CjA==" workbookSaltValue="uToaxgLYAbRnqdL2og7d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AL9" i="11"/>
  <c r="F9" i="2"/>
  <c r="N13" i="2"/>
  <c r="H13" i="12"/>
  <c r="T13" i="12"/>
  <c r="BI10" i="11"/>
  <c r="V9" i="11"/>
  <c r="R10" i="21"/>
  <c r="R13" i="21" s="1"/>
  <c r="BG9" i="11"/>
  <c r="BH17" i="11"/>
  <c r="T17" i="16"/>
  <c r="BU11" i="17"/>
  <c r="BU10" i="17"/>
  <c r="BW12" i="20"/>
  <c r="BW11" i="20"/>
  <c r="BW10" i="20"/>
  <c r="BU12" i="17"/>
  <c r="T13" i="16"/>
  <c r="AZ12" i="11"/>
  <c r="Q17" i="17"/>
  <c r="BI9" i="11"/>
  <c r="BJ10" i="11"/>
  <c r="BH11" i="11"/>
  <c r="BH16" i="11"/>
  <c r="BJ16" i="11"/>
  <c r="T13" i="20"/>
  <c r="AY18" i="8"/>
  <c r="BD12" i="8"/>
  <c r="J18" i="17"/>
  <c r="L9" i="2"/>
  <c r="BG15" i="13"/>
  <c r="BA18" i="13"/>
  <c r="BE15" i="13"/>
  <c r="AH20" i="20"/>
  <c r="AL20" i="20"/>
  <c r="AB20" i="20"/>
  <c r="Y20" i="20"/>
  <c r="AO20" i="20"/>
  <c r="AN20" i="20"/>
  <c r="U10" i="11"/>
  <c r="BF17" i="8" l="1"/>
  <c r="C17" i="6"/>
  <c r="T19" i="8"/>
  <c r="AC10" i="11"/>
  <c r="D10" i="6"/>
  <c r="AL12" i="11"/>
  <c r="L16" i="2"/>
  <c r="H12" i="7"/>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U9" i="17"/>
  <c r="U19" i="17" s="1"/>
  <c r="BL16" i="11"/>
  <c r="AQ12" i="21"/>
  <c r="BG16" i="11"/>
  <c r="BK16" i="11"/>
  <c r="AQ10" i="21"/>
  <c r="BH10" i="11"/>
  <c r="BG12" i="11"/>
  <c r="V12" i="16"/>
  <c r="U10" i="17"/>
  <c r="BV11" i="16"/>
  <c r="BV12" i="16"/>
  <c r="BV17" i="16"/>
  <c r="T15" i="16"/>
  <c r="BM15" i="11"/>
  <c r="BL11" i="11"/>
  <c r="BI17" i="11"/>
  <c r="BJ11" i="11"/>
  <c r="Q10" i="21"/>
  <c r="V11" i="11"/>
  <c r="BF9" i="8"/>
  <c r="E12" i="6"/>
  <c r="AO12" i="11"/>
  <c r="B10" i="6"/>
  <c r="H12" i="2"/>
  <c r="BG15" i="8"/>
  <c r="K15" i="7" s="1"/>
  <c r="BD16" i="8"/>
  <c r="H16" i="7" s="1"/>
  <c r="C10" i="6"/>
  <c r="I10" i="12" s="1"/>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<sst xmlns="http://schemas.openxmlformats.org/spreadsheetml/2006/main" count="2102" uniqueCount="917">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</sst>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qaWarX9JRimxWyXzYbXHsV44uJJZ9kHdRj/vs+CnMCemKixyLscbN6cohdQikCyI45Pk6ZcVkg2j1iwaoIksQ==" saltValue="DvcM4pOFBTmxQXicweoe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28.265822784810126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93</v>
      </c>
      <c r="D16" s="225">
        <f>IF(ISNUMBER(IF(D_I="SI",Datos!I16,Datos!I16+Datos!AC16)),IF(D_I="SI",Datos!I16,Datos!I16+Datos!AC16)," - ")</f>
        <v>73</v>
      </c>
      <c r="E16" s="226">
        <f>IF(ISNUMBER(IF(D_I="SI",Datos!J16,Datos!J16+Datos!AD16)),IF(D_I="SI",Datos!J16,Datos!J16+Datos!AD16)," - ")</f>
        <v>69</v>
      </c>
      <c r="F16" s="226">
        <f>IF(ISNUMBER(IF(D_I="SI",Datos!K16,Datos!K16+Datos!AE16)),IF(D_I="SI",Datos!K16,Datos!K16+Datos!AE16)," - ")</f>
        <v>88</v>
      </c>
      <c r="G16" s="1034" t="str">
        <f>IF(Datos!E16&lt;&gt;"",Datos!E16,Datos!D16)</f>
        <v>04</v>
      </c>
      <c r="H16" s="227">
        <f>IF(ISNUMBER(IF(D_I="SI",Datos!L16,Datos!L16+Datos!AF16)),IF(D_I="SI",Datos!L16,Datos!L16+Datos!AF16)," - ")</f>
        <v>74</v>
      </c>
      <c r="I16" s="1044" t="str">
        <f>IF(ISNUMBER(Datos!AS16/Datos!BM16),Datos!AS16/Datos!BM16," - ")</f>
        <v xml:space="preserve"> - </v>
      </c>
      <c r="J16" s="1045">
        <f>IF(ISNUMBER(Datos!BY16/Datos!CN16),Datos!BY16/Datos!CN16," - ")</f>
        <v>0</v>
      </c>
      <c r="K16" s="230">
        <f t="shared" si="3"/>
        <v>-0.20430107526881722</v>
      </c>
      <c r="L16" s="1025">
        <f>IF(ISNUMBER(NºAsuntos!I16/NºAsuntos!G16),(NºAsuntos!I16/NºAsuntos!G16)*11," - ")</f>
        <v>9.25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4</v>
      </c>
      <c r="F17" s="226">
        <f>IF(ISNUMBER(IF(D_I="SI",Datos!K17,Datos!K17+Datos!AE17)),IF(D_I="SI",Datos!K17,Datos!K17+Datos!AE17)," - ")</f>
        <v>3</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v>
      </c>
      <c r="D18" s="1049">
        <f>SUBTOTAL(9,D15:D17)</f>
        <v>76</v>
      </c>
      <c r="E18" s="1050">
        <f>SUBTOTAL(9,E15:E17)</f>
        <v>73</v>
      </c>
      <c r="F18" s="1050">
        <f>SUBTOTAL(9,F15:F17)</f>
        <v>91</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v>
      </c>
      <c r="D19" s="1071">
        <f>SUBTOTAL(9,D9:D18)</f>
        <v>76</v>
      </c>
      <c r="E19" s="1072">
        <f>SUBTOTAL(9,E9:E18)</f>
        <v>73</v>
      </c>
      <c r="F19" s="1072">
        <f>SUBTOTAL(9,F9:F18)</f>
        <v>91</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L8fow+RUaRy2XLCH6O67xkkFjJyw1tBzPj4dknFkM47LEFV5mBsOOjsit3mr4zLl4DZ9XfDFnYNuVfX4MbWSw==" saltValue="csmmPmN9BHM79psMO0knx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cg1CDlDdqolOwsiyeqqI7ys0ChIOg7MW7U1U4g5tqc81GQzavRueoUljAZRjkHe7nX3YuupR8ZtkmKpVeUlTw==" saltValue="cqNBaMQ/IXDaYxIOdLY/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v>
      </c>
      <c r="J12" s="183">
        <v>111</v>
      </c>
      <c r="K12" s="183">
        <v>74</v>
      </c>
      <c r="L12" s="183">
        <v>200</v>
      </c>
      <c r="M12" s="183">
        <v>14</v>
      </c>
      <c r="N12" s="183">
        <v>42</v>
      </c>
      <c r="O12" s="181">
        <v>36</v>
      </c>
      <c r="P12" s="183">
        <v>19</v>
      </c>
      <c r="Q12" s="183">
        <v>13</v>
      </c>
      <c r="R12" s="183">
        <v>555</v>
      </c>
      <c r="S12" s="183">
        <v>146</v>
      </c>
      <c r="T12" s="183">
        <v>91</v>
      </c>
      <c r="U12" s="183">
        <v>67</v>
      </c>
      <c r="V12" s="183">
        <v>170</v>
      </c>
      <c r="W12" s="183">
        <v>18</v>
      </c>
      <c r="X12" s="189">
        <v>39</v>
      </c>
      <c r="Y12" s="191">
        <v>4</v>
      </c>
      <c r="Z12" s="181">
        <v>4</v>
      </c>
      <c r="AA12" s="181">
        <v>5</v>
      </c>
      <c r="AB12" s="181">
        <v>3</v>
      </c>
      <c r="AC12" s="183">
        <v>0</v>
      </c>
      <c r="AD12" s="183">
        <v>0</v>
      </c>
      <c r="AE12" s="183">
        <v>0</v>
      </c>
      <c r="AF12" s="189">
        <v>0</v>
      </c>
      <c r="AG12" s="202">
        <v>0</v>
      </c>
      <c r="AH12" s="183">
        <v>8</v>
      </c>
      <c r="AI12" s="183">
        <v>5</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146</v>
      </c>
      <c r="AZ12" s="127">
        <f t="shared" si="1"/>
        <v>99</v>
      </c>
      <c r="BA12" s="127">
        <f t="shared" si="1"/>
        <v>72</v>
      </c>
      <c r="BB12" s="127">
        <f t="shared" si="1"/>
        <v>173</v>
      </c>
      <c r="BC12" s="125">
        <f>IF(ISNUMBER(X12),X12," - ")</f>
        <v>39</v>
      </c>
      <c r="BD12" s="126">
        <f t="shared" si="2"/>
        <v>0.72727272727272729</v>
      </c>
      <c r="BE12" s="127">
        <f t="shared" si="3"/>
        <v>2.4027777777777777</v>
      </c>
      <c r="BF12" s="127">
        <f t="shared" si="4"/>
        <v>0.54166666666666663</v>
      </c>
      <c r="BG12" s="196">
        <f t="shared" si="5"/>
        <v>3.4027777777777777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v>
      </c>
      <c r="J13" s="184">
        <f t="shared" si="6"/>
        <v>111</v>
      </c>
      <c r="K13" s="184">
        <f t="shared" si="6"/>
        <v>74</v>
      </c>
      <c r="L13" s="184">
        <f t="shared" si="6"/>
        <v>200</v>
      </c>
      <c r="M13" s="184">
        <f t="shared" si="6"/>
        <v>14</v>
      </c>
      <c r="N13" s="184">
        <f t="shared" si="6"/>
        <v>42</v>
      </c>
      <c r="O13" s="184">
        <f t="shared" si="6"/>
        <v>36</v>
      </c>
      <c r="P13" s="184">
        <f t="shared" si="6"/>
        <v>19</v>
      </c>
      <c r="Q13" s="184">
        <f t="shared" si="6"/>
        <v>13</v>
      </c>
      <c r="R13" s="184">
        <f t="shared" si="6"/>
        <v>555</v>
      </c>
      <c r="S13" s="184">
        <f t="shared" si="6"/>
        <v>146</v>
      </c>
      <c r="T13" s="184">
        <f t="shared" si="6"/>
        <v>91</v>
      </c>
      <c r="U13" s="184">
        <f t="shared" si="6"/>
        <v>67</v>
      </c>
      <c r="V13" s="184">
        <f t="shared" si="6"/>
        <v>170</v>
      </c>
      <c r="W13" s="184">
        <f t="shared" si="6"/>
        <v>18</v>
      </c>
      <c r="X13" s="184">
        <f t="shared" si="6"/>
        <v>39</v>
      </c>
      <c r="Y13" s="184">
        <f t="shared" si="6"/>
        <v>4</v>
      </c>
      <c r="Z13" s="184">
        <f t="shared" si="6"/>
        <v>4</v>
      </c>
      <c r="AA13" s="184">
        <f t="shared" si="6"/>
        <v>5</v>
      </c>
      <c r="AB13" s="184">
        <f t="shared" si="6"/>
        <v>3</v>
      </c>
      <c r="AC13" s="184">
        <f t="shared" si="6"/>
        <v>0</v>
      </c>
      <c r="AD13" s="184">
        <f t="shared" si="6"/>
        <v>0</v>
      </c>
      <c r="AE13" s="184">
        <f t="shared" si="6"/>
        <v>0</v>
      </c>
      <c r="AF13" s="184">
        <f>SUBTOTAL(9,AF9:AF12)</f>
        <v>0</v>
      </c>
      <c r="AG13" s="184">
        <f t="shared" ref="AG13:AT13" si="7">SUBTOTAL(9,AG8:AG12)</f>
        <v>0</v>
      </c>
      <c r="AH13" s="184">
        <f t="shared" si="7"/>
        <v>8</v>
      </c>
      <c r="AI13" s="184">
        <f t="shared" si="7"/>
        <v>5</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146</v>
      </c>
      <c r="AZ13" s="184">
        <f>SUBTOTAL(9,AZ8:AZ12)</f>
        <v>99</v>
      </c>
      <c r="BA13" s="184">
        <f>SUBTOTAL(9,BA8:BA12)</f>
        <v>72</v>
      </c>
      <c r="BB13" s="184">
        <f>SUBTOTAL(9,BB8:BB12)</f>
        <v>173</v>
      </c>
      <c r="BC13" s="184">
        <f>SUBTOTAL(9,BC8:BC12)</f>
        <v>39</v>
      </c>
      <c r="BD13" s="205">
        <f>IF(ISNUMBER(BA13/AZ13),BA13/AZ13," - ")</f>
        <v>0.72727272727272729</v>
      </c>
      <c r="BE13" s="206">
        <f>IF(ISNUMBER(BB13/BA13),BB13/BA13, " - ")</f>
        <v>2.4027777777777777</v>
      </c>
      <c r="BF13" s="206">
        <f>IF(ISNUMBER(BC13/BA13),BC13/BA13, " - ")</f>
        <v>0.54166666666666663</v>
      </c>
      <c r="BG13" s="207">
        <f>IF(ISNUMBER((AY13+AZ13)/BA13),(AY13+AZ13)/BA13," - ")</f>
        <v>3.4027777777777777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v>
      </c>
      <c r="J16" s="183">
        <v>69</v>
      </c>
      <c r="K16" s="183">
        <v>88</v>
      </c>
      <c r="L16" s="183">
        <v>74</v>
      </c>
      <c r="M16" s="183">
        <v>8</v>
      </c>
      <c r="N16" s="183">
        <v>54</v>
      </c>
      <c r="O16" s="181">
        <v>0</v>
      </c>
      <c r="P16" s="183">
        <v>0</v>
      </c>
      <c r="Q16" s="183">
        <v>1</v>
      </c>
      <c r="R16" s="183">
        <v>11</v>
      </c>
      <c r="S16" s="183">
        <v>84</v>
      </c>
      <c r="T16" s="183">
        <v>58</v>
      </c>
      <c r="U16" s="183">
        <v>64</v>
      </c>
      <c r="V16" s="183">
        <v>79</v>
      </c>
      <c r="W16" s="183">
        <v>5</v>
      </c>
      <c r="X16" s="189">
        <v>43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84</v>
      </c>
      <c r="AZ16" s="127">
        <f t="shared" si="9"/>
        <v>58</v>
      </c>
      <c r="BA16" s="127">
        <f t="shared" si="9"/>
        <v>64</v>
      </c>
      <c r="BB16" s="127">
        <f t="shared" si="9"/>
        <v>79</v>
      </c>
      <c r="BC16" s="125">
        <f>IF(ISNUMBER(W16),W16," - ")</f>
        <v>5</v>
      </c>
      <c r="BD16" s="126">
        <f t="shared" ref="BD16" si="11">IF(ISNUMBER(BA16/AZ16),BA16/AZ16," - ")</f>
        <v>1.103448275862069</v>
      </c>
      <c r="BE16" s="127">
        <f t="shared" ref="BE16" si="12">IF(ISNUMBER(BB16/BA16),BB16/BA16, " - ")</f>
        <v>1.234375</v>
      </c>
      <c r="BF16" s="127">
        <f t="shared" ref="BF16" si="13">IF(ISNUMBER(BC16/BA16),BC16/BA16, " - ")</f>
        <v>7.8125E-2</v>
      </c>
      <c r="BG16" s="196">
        <f t="shared" si="10"/>
        <v>2.21875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4</v>
      </c>
      <c r="K17" s="183">
        <v>3</v>
      </c>
      <c r="L17" s="183">
        <v>4</v>
      </c>
      <c r="M17" s="183">
        <v>0</v>
      </c>
      <c r="N17" s="183">
        <v>2</v>
      </c>
      <c r="O17" s="183">
        <v>0</v>
      </c>
      <c r="P17" s="183">
        <v>0</v>
      </c>
      <c r="Q17" s="183">
        <v>0</v>
      </c>
      <c r="R17" s="183">
        <v>0</v>
      </c>
      <c r="S17" s="183">
        <v>3</v>
      </c>
      <c r="T17" s="183">
        <v>0</v>
      </c>
      <c r="U17" s="183">
        <v>2</v>
      </c>
      <c r="V17" s="183">
        <v>1</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0</v>
      </c>
      <c r="BA17" s="129">
        <f t="shared" si="14"/>
        <v>2</v>
      </c>
      <c r="BB17" s="129">
        <f t="shared" si="14"/>
        <v>1</v>
      </c>
      <c r="BC17" s="125">
        <f>IF(ISNUMBER(W17),W17," - ")</f>
        <v>0</v>
      </c>
      <c r="BD17" s="126" t="str">
        <f>IF(ISNUMBER(BA17/AZ17),BA17/AZ17," - ")</f>
        <v xml:space="preserve"> - </v>
      </c>
      <c r="BE17" s="127">
        <f>IF(ISNUMBER(BB17/BA17),BB17/BA17, " - ")</f>
        <v>0.5</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v>
      </c>
      <c r="J18" s="184">
        <f t="shared" si="15"/>
        <v>73</v>
      </c>
      <c r="K18" s="184">
        <f t="shared" si="15"/>
        <v>91</v>
      </c>
      <c r="L18" s="184">
        <f t="shared" si="15"/>
        <v>78</v>
      </c>
      <c r="M18" s="184">
        <f t="shared" si="15"/>
        <v>8</v>
      </c>
      <c r="N18" s="184">
        <f t="shared" si="15"/>
        <v>56</v>
      </c>
      <c r="O18" s="184">
        <f t="shared" si="15"/>
        <v>0</v>
      </c>
      <c r="P18" s="184">
        <f t="shared" si="15"/>
        <v>0</v>
      </c>
      <c r="Q18" s="184">
        <f t="shared" si="15"/>
        <v>1</v>
      </c>
      <c r="R18" s="184">
        <f t="shared" si="15"/>
        <v>11</v>
      </c>
      <c r="S18" s="184">
        <f t="shared" si="15"/>
        <v>87</v>
      </c>
      <c r="T18" s="184">
        <f t="shared" si="15"/>
        <v>58</v>
      </c>
      <c r="U18" s="184">
        <f t="shared" si="15"/>
        <v>66</v>
      </c>
      <c r="V18" s="184">
        <f t="shared" si="15"/>
        <v>80</v>
      </c>
      <c r="W18" s="184">
        <f t="shared" si="15"/>
        <v>5</v>
      </c>
      <c r="X18" s="184">
        <f t="shared" si="15"/>
        <v>44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87</v>
      </c>
      <c r="AZ18" s="184">
        <f>SUBTOTAL(9,AZ14:AZ17)</f>
        <v>58</v>
      </c>
      <c r="BA18" s="184">
        <f>SUBTOTAL(9,BA14:BA17)</f>
        <v>66</v>
      </c>
      <c r="BB18" s="184">
        <f>SUBTOTAL(9,BB14:BB17)</f>
        <v>80</v>
      </c>
      <c r="BC18" s="184">
        <f>SUBTOTAL(9,BC14:BC17)</f>
        <v>5</v>
      </c>
      <c r="BD18" s="205">
        <f>IF(ISNUMBER(BA18/AZ18),BA18/AZ18," - ")</f>
        <v>1.1379310344827587</v>
      </c>
      <c r="BE18" s="206">
        <f>IF(ISNUMBER(BB18/BA18),BB18/BA18, " - ")</f>
        <v>1.2121212121212122</v>
      </c>
      <c r="BF18" s="206">
        <f>IF(ISNUMBER(BC18/BA18),BC18/BA18, " - ")</f>
        <v>7.575757575757576E-2</v>
      </c>
      <c r="BG18" s="207">
        <f>IF(ISNUMBER((AY18+AZ18)/BA18),(AY18+AZ18)/BA18," - ")</f>
        <v>2.1969696969696968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239</v>
      </c>
      <c r="J19" s="134">
        <f t="shared" si="18"/>
        <v>184</v>
      </c>
      <c r="K19" s="134">
        <f t="shared" si="18"/>
        <v>165</v>
      </c>
      <c r="L19" s="134">
        <f t="shared" si="18"/>
        <v>278</v>
      </c>
      <c r="M19" s="134">
        <f t="shared" si="18"/>
        <v>22</v>
      </c>
      <c r="N19" s="134">
        <f t="shared" si="18"/>
        <v>98</v>
      </c>
      <c r="O19" s="134">
        <f t="shared" si="18"/>
        <v>36</v>
      </c>
      <c r="P19" s="134">
        <f t="shared" si="18"/>
        <v>19</v>
      </c>
      <c r="Q19" s="134">
        <f t="shared" si="18"/>
        <v>14</v>
      </c>
      <c r="R19" s="134">
        <f t="shared" si="18"/>
        <v>566</v>
      </c>
      <c r="S19" s="134">
        <f t="shared" si="18"/>
        <v>233</v>
      </c>
      <c r="T19" s="134">
        <f t="shared" si="18"/>
        <v>149</v>
      </c>
      <c r="U19" s="134">
        <f t="shared" si="18"/>
        <v>133</v>
      </c>
      <c r="V19" s="134">
        <f t="shared" si="18"/>
        <v>250</v>
      </c>
      <c r="W19" s="134">
        <f t="shared" si="18"/>
        <v>23</v>
      </c>
      <c r="X19" s="134">
        <f t="shared" si="18"/>
        <v>83</v>
      </c>
      <c r="Y19" s="134">
        <f t="shared" si="18"/>
        <v>4</v>
      </c>
      <c r="Z19" s="134">
        <f t="shared" si="18"/>
        <v>4</v>
      </c>
      <c r="AA19" s="134">
        <f t="shared" si="18"/>
        <v>5</v>
      </c>
      <c r="AB19" s="134">
        <f t="shared" si="18"/>
        <v>3</v>
      </c>
      <c r="AC19" s="134">
        <f t="shared" si="18"/>
        <v>0</v>
      </c>
      <c r="AD19" s="134">
        <f t="shared" si="18"/>
        <v>0</v>
      </c>
      <c r="AE19" s="134">
        <f t="shared" si="18"/>
        <v>0</v>
      </c>
      <c r="AF19" s="134">
        <f t="shared" si="18"/>
        <v>0</v>
      </c>
      <c r="AG19" s="134">
        <f t="shared" si="18"/>
        <v>0</v>
      </c>
      <c r="AH19" s="134">
        <f t="shared" si="18"/>
        <v>8</v>
      </c>
      <c r="AI19" s="134">
        <f t="shared" si="18"/>
        <v>5</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233</v>
      </c>
      <c r="AZ19" s="134">
        <f>SUBTOTAL(9,AZ9:AZ18)</f>
        <v>157</v>
      </c>
      <c r="BA19" s="134">
        <f>SUBTOTAL(9,BA9:BA18)</f>
        <v>138</v>
      </c>
      <c r="BB19" s="134">
        <f>SUBTOTAL(9,BB9:BB18)</f>
        <v>253</v>
      </c>
      <c r="BC19" s="135">
        <f>SUBTOTAL(9,BC9:BC18)</f>
        <v>44</v>
      </c>
      <c r="BD19" s="213">
        <f>IF(ISNUMBER(BA19/AZ19),BA19/AZ19," - ")</f>
        <v>0.87898089171974525</v>
      </c>
      <c r="BE19" s="210">
        <f>IF(ISNUMBER(BB19/BA19),BB19/BA19, " - ")</f>
        <v>1.8333333333333333</v>
      </c>
      <c r="BF19" s="210">
        <f>IF(ISNUMBER(BC19/BA19),BC19/BA19, " - ")</f>
        <v>0.3188405797101449</v>
      </c>
      <c r="BG19" s="135">
        <f>IF(ISNUMBER((AY19+AZ19)/BA19),(AY19+AZ19)/BA19," - ")</f>
        <v>2.8260869565217392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eKzOWsQQt18D353rVHqyZhKwLop3RZ/cH97Kx0Hl1UMOxrhnTaB7veYY8/bj03QGUrdSQruV4YisGzK35svA==" saltValue="4hDM8SGvSY9fwsfq4u+Lv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8hec/ZieKH/dWsPkxdEX2oT0ir26tA2L/dl0KSO7uWiXCEdXYqRHdWvieg5CbkUcmtfa6Jt+hix8w7AiYVGpQ==" saltValue="SuRCu1ABH9DhE5dGoyoGQ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555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0.68695652173913047</v>
      </c>
      <c r="BH12" s="260">
        <f>IF(ISNUMBER(((IF(J_V="SI",Datos!L12/Datos!K12,(Datos!L12+Datos!AB12)/(Datos!K12+Datos!AA12)))*11)/factor_trimestre),((IF(J_V="SI",Datos!L12/Datos!K12,(Datos!L12+Datos!AB12)/(Datos!K12+Datos!AA12)))*11)/factor_trimestre," - ")</f>
        <v>7.7088607594936711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1.092896174863388E-2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v>
      </c>
      <c r="AD13" s="899">
        <f t="shared" si="1"/>
        <v>0</v>
      </c>
      <c r="AE13" s="899">
        <f t="shared" si="1"/>
        <v>0</v>
      </c>
      <c r="AF13" s="899">
        <f t="shared" si="1"/>
        <v>0</v>
      </c>
      <c r="AG13" s="899">
        <f t="shared" si="1"/>
        <v>0</v>
      </c>
      <c r="AH13" s="899">
        <f t="shared" si="1"/>
        <v>3</v>
      </c>
      <c r="AI13" s="899">
        <f t="shared" si="1"/>
        <v>0</v>
      </c>
      <c r="AJ13" s="899">
        <f t="shared" si="1"/>
        <v>0</v>
      </c>
      <c r="AK13" s="899">
        <f t="shared" si="1"/>
        <v>0</v>
      </c>
      <c r="AL13" s="899">
        <f t="shared" si="1"/>
        <v>0</v>
      </c>
      <c r="AM13" s="899">
        <f t="shared" si="1"/>
        <v>555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v>
      </c>
      <c r="BD13" s="899">
        <f t="shared" si="1"/>
        <v>42</v>
      </c>
      <c r="BE13" s="899">
        <f t="shared" si="1"/>
        <v>0</v>
      </c>
      <c r="BF13" s="899">
        <f t="shared" si="1"/>
        <v>0</v>
      </c>
      <c r="BG13" s="899">
        <f>IF(ISNUMBER(Datos!K13/Datos!J13),Datos!K13/Datos!J13," - ")</f>
        <v>0.66666666666666663</v>
      </c>
      <c r="BH13" s="903">
        <f>IF(ISNUMBER(((Datos!L13/Datos!K13)*11)/factor_trimestre),((Datos!L13/Datos!K13)*11)/factor_trimestre," - ")</f>
        <v>8.1081081081081088</v>
      </c>
      <c r="BI13" s="899">
        <f>IF(ISNUMBER('Resol  Asuntos'!D13/NºAsuntos!G13),'Resol  Asuntos'!D13/NºAsuntos!G13," - ")</f>
        <v>0.17721518987341772</v>
      </c>
      <c r="BJ13" s="899" t="str">
        <f>IF(ISNUMBER(Datos!CI13/Datos!CJ13),Datos!CI13/Datos!CJ13," - ")</f>
        <v xml:space="preserve"> - </v>
      </c>
      <c r="BK13" s="899">
        <f>SUBTOTAL(9,BK8:BK12)</f>
        <v>0</v>
      </c>
      <c r="BL13" s="899" t="str">
        <f>IF(ISNUMBER((I13-AB13+L13)/(F13)),(I13-AB13+L13)/(F13)," - ")</f>
        <v xml:space="preserve"> - </v>
      </c>
      <c r="BM13" s="904">
        <f>SUBTOTAL(9,BM9:BM12)</f>
        <v>1.092896174863388E-2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93</v>
      </c>
      <c r="G16" s="598">
        <f>IF(ISNUMBER(IF(D_I="SI",Datos!I16,Datos!I16+Datos!AC16)),IF(D_I="SI",Datos!I16,Datos!I16+Datos!AC16)," - ")</f>
        <v>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v>
      </c>
      <c r="AC16" s="226">
        <f>IF(ISNUMBER(Datos!Q16),Datos!Q16," - ")</f>
        <v>1</v>
      </c>
      <c r="AD16" s="334"/>
      <c r="AE16" s="484"/>
      <c r="AF16" s="596">
        <f>IF(ISNUMBER(IF(D_I="SI",Datos!L16,Datos!L16+Datos!AF16)),IF(D_I="SI",Datos!L16,Datos!L16+Datos!AF16)," - ")</f>
        <v>74</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1.2753623188405796</v>
      </c>
      <c r="BH16" s="260">
        <f>IF(ISNUMBER(((IF(D_I="SI",Datos!L16/Datos!K16,(Datos!L16+Datos!AF16)/(Datos!K16+Datos!AE16)))*11)/factor_trimestre),((IF(D_I="SI",Datos!L16/Datos!K16,(Datos!L16+Datos!AF16)/(Datos!K16+Datos!AE16)))*11)/factor_trimestre," - ")</f>
        <v>2.5227272727272729</v>
      </c>
      <c r="BI16" s="243">
        <f>IF(ISNUMBER('Resol  Asuntos'!D16/NºAsuntos!G16),'Resol  Asuntos'!D16/NºAsuntos!G16," - ")</f>
        <v>9.0909090909090912E-2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93</v>
      </c>
      <c r="G18" s="898">
        <f>SUBTOTAL(9,G15:G17)</f>
        <v>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v>
      </c>
      <c r="AC18" s="899">
        <f t="shared" si="4"/>
        <v>1</v>
      </c>
      <c r="AD18" s="899">
        <f t="shared" si="4"/>
        <v>0</v>
      </c>
      <c r="AE18" s="899">
        <f t="shared" si="4"/>
        <v>0</v>
      </c>
      <c r="AF18" s="899">
        <f t="shared" si="4"/>
        <v>78</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56</v>
      </c>
      <c r="BE18" s="899">
        <f t="shared" si="4"/>
        <v>0</v>
      </c>
      <c r="BF18" s="899">
        <f t="shared" si="4"/>
        <v>0</v>
      </c>
      <c r="BG18" s="899">
        <f>IF(ISNUMBER(Datos!K18/Datos!J18),Datos!K18/Datos!J18," - ")</f>
        <v>1.2465753424657535</v>
      </c>
      <c r="BH18" s="903">
        <f>IF(ISNUMBER(((Datos!L18/Datos!K18)*11)/factor_trimestre),((Datos!L18/Datos!K18)*11)/factor_trimestre," - ")</f>
        <v>2.5714285714285716</v>
      </c>
      <c r="BI18" s="899">
        <f>SUBTOTAL(9,BI15:BI17)</f>
        <v>9.0909090909090912E-2</v>
      </c>
      <c r="BJ18" s="899">
        <f>SUBTOTAL(9,BJ15:BJ17)</f>
        <v>0</v>
      </c>
      <c r="BK18" s="899">
        <f>SUBTOTAL(9,BK15:BK17)</f>
        <v>0</v>
      </c>
      <c r="BL18" s="899">
        <f>IF(ISNUMBER((I18-AB18+L18)/(F18)),(I18-AB18+L18)/(F18)," - ")</f>
        <v>-0.978494623655914</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93</v>
      </c>
      <c r="G19" s="820">
        <f t="shared" si="6"/>
        <v>76</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v>
      </c>
      <c r="AC19" s="821">
        <f t="shared" si="7"/>
        <v>14</v>
      </c>
      <c r="AD19" s="821">
        <f t="shared" si="7"/>
        <v>0</v>
      </c>
      <c r="AE19" s="821">
        <f t="shared" si="7"/>
        <v>0</v>
      </c>
      <c r="AF19" s="828">
        <f t="shared" si="7"/>
        <v>78</v>
      </c>
      <c r="AG19" s="828">
        <f t="shared" si="7"/>
        <v>0</v>
      </c>
      <c r="AH19" s="828">
        <f t="shared" si="7"/>
        <v>3</v>
      </c>
      <c r="AI19" s="828">
        <f t="shared" si="7"/>
        <v>0</v>
      </c>
      <c r="AJ19" s="821">
        <f t="shared" si="7"/>
        <v>0</v>
      </c>
      <c r="AK19" s="828">
        <f t="shared" si="7"/>
        <v>0</v>
      </c>
      <c r="AL19" s="828">
        <f t="shared" si="7"/>
        <v>0</v>
      </c>
      <c r="AM19" s="828">
        <f t="shared" si="7"/>
        <v>566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v>
      </c>
      <c r="BD19" s="820">
        <f t="shared" si="7"/>
        <v>98</v>
      </c>
      <c r="BE19" s="820">
        <f t="shared" si="7"/>
        <v>0</v>
      </c>
      <c r="BF19" s="830">
        <f t="shared" si="7"/>
        <v>0</v>
      </c>
      <c r="BG19" s="915">
        <f>IF(ISNUMBER(Datos!K19/Datos!J19),Datos!K19/Datos!J19," - ")</f>
        <v>0.89673913043478259</v>
      </c>
      <c r="BH19" s="915">
        <f>IF(ISNUMBER(((Datos!L19/Datos!K19)*11)/factor_trimestre),((Datos!L19/Datos!K19)*11)/factor_trimestre," - ")</f>
        <v>5.0545454545454547</v>
      </c>
      <c r="BI19" s="813">
        <f>IF(ISNUMBER(Datos!J19/Datos!I19),Datos!J19/Datos!I19," - ")</f>
        <v>0.76987447698744771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-0.978494623655914</v>
      </c>
      <c r="BM19" s="889">
        <f>IF(ISNUMBER((Datos!P19-Datos!Q19+R19)/(Datos!R19-Datos!P19+Datos!Q19-R19)),(Datos!P19-Datos!Q19+R19)/(Datos!R19-Datos!P19+Datos!Q19-R19)," - ")</f>
        <v>8.9126559714795012E-3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53.693575034635195</v>
      </c>
      <c r="G21" s="552">
        <f>IF(ISNUMBER(STDEV(G8:G18)),STDEV(G8:G18),"-")</f>
        <v>40.290197318950923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48.500515461178352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6.2822501276745308</v>
      </c>
      <c r="BD21" s="551"/>
      <c r="BE21" s="551">
        <f>IF(ISNUMBER(STDEV(BE8:BE18)),STDEV(BE8:BE18),"-")</f>
        <v>0</v>
      </c>
      <c r="BF21" s="556">
        <f>IF(ISNUMBER(STDEV(BF8:BF18)),STDEV(BF8:BF18),"-")</f>
        <v>0</v>
      </c>
      <c r="BG21" s="775">
        <f>IF(ISNUMBER(STDEV(BG8:BG18)),STDEV(BG8:BG18),"-")</f>
        <v>0.30829782722575255</v>
      </c>
      <c r="BH21" s="776">
        <f>IF(ISNUMBER(STDEV(BH8:BH18)),STDEV(BH8:BH18),"-")</f>
        <v>2.7400511953065156</v>
      </c>
      <c r="BI21" s="249">
        <f>IF(ISNUMBER(STDEV(BI8:BI18)),STDEV(BI8:BI18),"-")</f>
        <v>7.2359999642174849E-2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r7L7Fgdxs9LhYd2w4/7B4Jj3aA1BpcmxDTmr2llPvSkUCysdefHjoGbE3V3P5t8RnfeS2q8N/08h2OoCMskGw==" saltValue="q6Qd5wmos0oZ1ZGsjCghK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ALCARAZ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555</v>
      </c>
      <c r="AF12" s="229" t="str">
        <f>IF(ISNUMBER(Datos!BV12),Datos!BV12," - ")</f>
        <v xml:space="preserve"> - </v>
      </c>
      <c r="AG12" s="225" t="str">
        <f>IF(ISNUMBER(Datos!DV12),Datos!DV12," - ")</f>
        <v xml:space="preserve"> - </v>
      </c>
      <c r="AH12" s="298"/>
      <c r="AI12" s="227"/>
      <c r="AJ12" s="225">
        <f>IF(ISNUMBER(Datos!M12),Datos!M12," - ")</f>
        <v>14</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7.7088607594936711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1.092896174863388E-2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v>
      </c>
      <c r="AA13" s="900">
        <f t="shared" si="2"/>
        <v>0</v>
      </c>
      <c r="AB13" s="900">
        <f t="shared" si="2"/>
        <v>0</v>
      </c>
      <c r="AC13" s="900">
        <f t="shared" si="2"/>
        <v>0</v>
      </c>
      <c r="AD13" s="900">
        <f t="shared" si="2"/>
        <v>0</v>
      </c>
      <c r="AE13" s="900">
        <f t="shared" si="2"/>
        <v>555</v>
      </c>
      <c r="AF13" s="908">
        <f t="shared" si="2"/>
        <v>0</v>
      </c>
      <c r="AG13" s="908">
        <f t="shared" si="2"/>
        <v>0</v>
      </c>
      <c r="AH13" s="908">
        <f t="shared" si="2"/>
        <v>0</v>
      </c>
      <c r="AI13" s="908">
        <f t="shared" si="2"/>
        <v>0</v>
      </c>
      <c r="AJ13" s="908">
        <f t="shared" si="2"/>
        <v>14</v>
      </c>
      <c r="AK13" s="908">
        <f t="shared" si="2"/>
        <v>42</v>
      </c>
      <c r="AL13" s="908">
        <f t="shared" si="2"/>
        <v>0</v>
      </c>
      <c r="AM13" s="908">
        <f t="shared" si="2"/>
        <v>0</v>
      </c>
      <c r="AN13" s="908">
        <f t="shared" si="2"/>
        <v>0</v>
      </c>
      <c r="AO13" s="904">
        <f>IF(ISNUMBER(((NºAsuntos!I13/NºAsuntos!G13)*11)/factor_trimestre),((NºAsuntos!I13/NºAsuntos!G13)*11)/factor_trimestre," - ")</f>
        <v>7.7088607594936711</v>
      </c>
      <c r="AP13" s="910" t="str">
        <f>IF(ISNUMBER(Datos!CI13/Datos!CJ13),Datos!CI13/Datos!CJ13," - ")</f>
        <v xml:space="preserve"> - </v>
      </c>
      <c r="AQ13" s="928">
        <f t="shared" ref="AQ13:AV13" si="3">SUBTOTAL(9,AQ9:AQ12)</f>
        <v>0</v>
      </c>
      <c r="AR13" s="928">
        <f t="shared" si="3"/>
        <v>1.092896174863388E-2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93</v>
      </c>
      <c r="G16" s="225">
        <f>IF(ISNUMBER(IF(D_I="SI",Datos!I16,Datos!I16+Datos!AC16)),IF(D_I="SI",Datos!I16,Datos!I16+Datos!AC16)," - ")</f>
        <v>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v>
      </c>
      <c r="Z16" s="619">
        <f>IF(ISNUMBER(Datos!Q16),Datos!Q16," - ")</f>
        <v>1</v>
      </c>
      <c r="AA16" s="332">
        <f>IF(ISNUMBER(IF(D_I="SI",Datos!L16,Datos!L16+Datos!AF16)),IF(D_I="SI",Datos!L16,Datos!L16+Datos!AF16)," - ")</f>
        <v>74</v>
      </c>
      <c r="AB16" s="334"/>
      <c r="AC16" s="334"/>
      <c r="AD16" s="484"/>
      <c r="AE16" s="484">
        <f>IF(ISNUMBER(Datos!R16),Datos!R16," - ")</f>
        <v>11</v>
      </c>
      <c r="AF16" s="229" t="str">
        <f>IF(ISNUMBER(Datos!BV16),Datos!BV16," - ")</f>
        <v xml:space="preserve"> - </v>
      </c>
      <c r="AG16" s="225"/>
      <c r="AH16" s="298"/>
      <c r="AI16" s="227"/>
      <c r="AJ16" s="225">
        <f>IF(ISNUMBER(Datos!M16),Datos!M16," - ")</f>
        <v>8</v>
      </c>
      <c r="AK16" s="229">
        <f>IF(ISNUMBER(Datos!N16),Datos!N16," - ")</f>
        <v>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2.5227272727272729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93</v>
      </c>
      <c r="G18" s="898">
        <f>SUBTOTAL(9,G15:G17)</f>
        <v>76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v>
      </c>
      <c r="Z18" s="932">
        <f t="shared" si="5"/>
        <v>1</v>
      </c>
      <c r="AA18" s="932">
        <f t="shared" si="5"/>
        <v>78</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8</v>
      </c>
      <c r="AK18" s="932">
        <f t="shared" si="5"/>
        <v>56</v>
      </c>
      <c r="AL18" s="932">
        <f t="shared" si="5"/>
        <v>0</v>
      </c>
      <c r="AM18" s="932">
        <f t="shared" si="5"/>
        <v>0</v>
      </c>
      <c r="AN18" s="932">
        <f t="shared" si="5"/>
        <v>0</v>
      </c>
      <c r="AO18" s="934">
        <f>IF(ISNUMBER(((NºAsuntos!I18/NºAsuntos!G18)*11)/factor_trimestre),((NºAsuntos!I18/NºAsuntos!G18)*11)/factor_trimestre," - ")</f>
        <v>2.5714285714285716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93</v>
      </c>
      <c r="G19" s="820">
        <f t="shared" si="7"/>
        <v>76</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v>
      </c>
      <c r="Z19" s="827">
        <f t="shared" si="8"/>
        <v>14</v>
      </c>
      <c r="AA19" s="828">
        <f t="shared" si="8"/>
        <v>78</v>
      </c>
      <c r="AB19" s="828">
        <f t="shared" si="8"/>
        <v>0</v>
      </c>
      <c r="AC19" s="828">
        <f t="shared" si="8"/>
        <v>0</v>
      </c>
      <c r="AD19" s="829">
        <f t="shared" si="8"/>
        <v>0</v>
      </c>
      <c r="AE19" s="829">
        <f t="shared" si="8"/>
        <v>566</v>
      </c>
      <c r="AF19" s="830">
        <f t="shared" si="8"/>
        <v>0</v>
      </c>
      <c r="AG19" s="831">
        <f t="shared" si="8"/>
        <v>0</v>
      </c>
      <c r="AH19" s="832">
        <f t="shared" si="8"/>
        <v>0</v>
      </c>
      <c r="AI19" s="830">
        <f t="shared" si="8"/>
        <v>0</v>
      </c>
      <c r="AJ19" s="820">
        <f t="shared" si="8"/>
        <v>22</v>
      </c>
      <c r="AK19" s="820">
        <f t="shared" si="8"/>
        <v>98</v>
      </c>
      <c r="AL19" s="820">
        <f t="shared" si="8"/>
        <v>0</v>
      </c>
      <c r="AM19" s="833">
        <f t="shared" si="8"/>
        <v>0</v>
      </c>
      <c r="AN19" s="823">
        <f>IF(ISNUMBER(Datos!K19/Datos!J19),Datos!K19/Datos!J19," - ")</f>
        <v>0.89673913043478259</v>
      </c>
      <c r="AO19" s="823">
        <f>IF(ISNUMBER(FIND("06",Criterios!A8,1)),(IF(ISNUMBER(((Datos!R19/Datos!Q19)*11)/factor_trimestre),((Datos!R19/Datos!Q19)*11)/factor_trimestre," - ")),(IF(ISNUMBER(((Datos!L19/Datos!K19)*11)/factor_trimestre),((Datos!L19/Datos!K19)*11)/factor_trimestre," - ")))</f>
        <v>5.0545454545454547</v>
      </c>
      <c r="AP19" s="834" t="str">
        <f>IF(ISNUMBER(Datos!CI19/Datos!CJ19),Datos!CI19/Datos!CJ19," - ")</f>
        <v xml:space="preserve"> - </v>
      </c>
      <c r="AQ19" s="834">
        <f>IF(OR(ISNUMBER(FIND("01",Criterios!A8,1)),ISNUMBER(FIND("02",Criterios!A8,1)),ISNUMBER(FIND("03",Criterios!A8,1)),ISNUMBER(FIND("04",Criterios!A8,1))),(J19-Y19+K19)/(F19-K19),(I19-Y19+K19)/(F19-K19))</f>
        <v>-0.978494623655914</v>
      </c>
      <c r="AR19" s="834">
        <f>IF(ISNUMBER((Datos!P19-Datos!Q19+O19)/(Datos!R19-Datos!P19+Datos!Q19-O19)),(Datos!P19-Datos!Q19+O19)/(Datos!R19-Datos!P19+Datos!Q19-O19)," - ")</f>
        <v>8.9126559714795012E-3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53.693575034635195</v>
      </c>
      <c r="G21" s="552">
        <f>IF(ISNUMBER(STDEV(G8:G18)),STDEV(G8:G18),"-")</f>
        <v>40.290197318950923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6.2822501276745308</v>
      </c>
      <c r="AK21" s="252"/>
      <c r="AL21" s="252">
        <f>IF(ISNUMBER(STDEV(AL8:AL18)),STDEV(AL8:AL18),"-")</f>
        <v>0</v>
      </c>
      <c r="AM21" s="254">
        <f>IF(ISNUMBER(STDEV(AM8:AM18)),STDEV(AM8:AM18),"-")</f>
        <v>0</v>
      </c>
      <c r="AN21" s="539">
        <f>IF(ISNUMBER(STDEV(AN8:AN18)),STDEV(AN8:AN18),"-")</f>
        <v>0</v>
      </c>
      <c r="AO21" s="540">
        <f>IF(ISNUMBER(STDEV(AO8:AO18)),STDEV(AO8:AO18),"-")</f>
        <v>2.6297832532306527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TvIFXwOcGNgtxNFfjbQVeMAcA2hnDE3FaU0F8jh2E3Z2kzczPYZreA6EGeQdi98oW8HfTejlAx90Xs5+dj1sQ==" saltValue="zv52xastHM2ICGRPiyBJR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nxSbwHxwtjEN++0CoVj9Emk2OIY032+7sTyRlek5S5x9+RDYVa907IiKul/M3+m0pg0N5kRjlRB/ZMO/6qaMA==" saltValue="d65FpgdTYbg3kS229b9/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CJ+wAAYX/6AkDnzMR42CPLFaxgtwYlNlz++1r/oF9h+chEFoS0Ov64G9ohLKGCC52iNPk3FjouqKOddq5cRTA==" saltValue="b/C7CIuvftqZ25NhnHCjM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0.17721518987341772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0.12531006248875526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Rm5ZZiH25e8j5dW6PmU38cTIbPJ+tuL3TaWU7zs7ApI5O7xD4l+/edj4XNCnyI86tRQj222um5pnFJO6+TIyA==" saltValue="Nawsopen3b3D3n/8lMr/5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rIYL0osmhCKWaRPEKxIEUlg+Q2VoMgX18Mdk7Rad2gW1sA1bn5vJZAwiRPjlYu3vjgro7SdOEjAc+hJMc2DXHA==" saltValue="eX+mCzVS3VlqWoX0nIrV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ALCARAZ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167</v>
      </c>
      <c r="D12" s="404">
        <f>IF(ISNUMBER(C12/Datos!BH12),C12/Datos!BH12," - ")</f>
        <v>167</v>
      </c>
      <c r="E12" s="403">
        <f>IF(ISNUMBER(IF(J_V="SI",Datos!J12,Datos!J12+Datos!Z12)),IF(J_V="SI",Datos!J12,Datos!J12+Datos!Z12)," - ")</f>
        <v>115</v>
      </c>
      <c r="F12" s="404">
        <f>IF(ISNUMBER(E12/B12),E12/B12," - ")</f>
        <v>115</v>
      </c>
      <c r="G12" s="403">
        <f>IF(ISNUMBER(IF(J_V="SI",Datos!K12,Datos!K12+Datos!AA12)),IF(J_V="SI",Datos!K12,Datos!K12+Datos!AA12)," - ")</f>
        <v>79</v>
      </c>
      <c r="H12" s="404">
        <f>IF(ISNUMBER(G12/B12),G12/B12," - ")</f>
        <v>79</v>
      </c>
      <c r="I12" s="403">
        <f>IF(ISNUMBER(IF(J_V="SI",Datos!L12,Datos!L12+Datos!AB12)),IF(J_V="SI",Datos!L12,Datos!L12+Datos!AB12)," - ")</f>
        <v>203</v>
      </c>
      <c r="J12" s="404">
        <f>IF(ISNUMBER(I12/B12),I12/B12," - ")</f>
        <v>203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167</v>
      </c>
      <c r="D13" s="850" t="str">
        <f>IF(ISNUMBER(C13/Datos!BI13),C13/Datos!BI13," - ")</f>
        <v xml:space="preserve"> - </v>
      </c>
      <c r="E13" s="849">
        <f>SUBTOTAL(9,E8:E12)</f>
        <v>115</v>
      </c>
      <c r="F13" s="850">
        <f>IF(ISNUMBER(E13/B13),E13/B13," - ")</f>
        <v>115</v>
      </c>
      <c r="G13" s="849">
        <f>SUBTOTAL(9,G8:G12)</f>
        <v>79</v>
      </c>
      <c r="H13" s="850">
        <f>IF(ISNUMBER(G13/B13),G13/B13," - ")</f>
        <v>79</v>
      </c>
      <c r="I13" s="849">
        <f>SUBTOTAL(9,I8:I12)</f>
        <v>203</v>
      </c>
      <c r="J13" s="850">
        <f>IF(ISNUMBER(I13/B13),I13/B13," - ")</f>
        <v>203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73</v>
      </c>
      <c r="D16" s="404">
        <f>IF(ISNUMBER(C16/Datos!BH16),C16/Datos!BH16," - ")</f>
        <v>73</v>
      </c>
      <c r="E16" s="403">
        <f>IF(ISNUMBER(IF(D_I="SI",Datos!J16,Datos!J16+Datos!AD16)),IF(D_I="SI",Datos!J16,Datos!J16+Datos!AD16)," - ")</f>
        <v>69</v>
      </c>
      <c r="F16" s="404">
        <f>IF(ISNUMBER(E16/B16),E16/B16," - ")</f>
        <v>69</v>
      </c>
      <c r="G16" s="403">
        <f>IF(ISNUMBER(IF(D_I="SI",Datos!K16,Datos!K16+Datos!AE16)),IF(D_I="SI",Datos!K16,Datos!K16+Datos!AE16)," - ")</f>
        <v>88</v>
      </c>
      <c r="H16" s="404">
        <f>IF(ISNUMBER(G16/B16),G16/B16," - ")</f>
        <v>88</v>
      </c>
      <c r="I16" s="403">
        <f>IF(ISNUMBER(IF(D_I="SI",Datos!L16,Datos!L16+Datos!AF16)),IF(D_I="SI",Datos!L16,Datos!L16+Datos!AF16)," - ")</f>
        <v>74</v>
      </c>
      <c r="J16" s="404">
        <f>IF(ISNUMBER(I16/B16),I16/B16," - ")</f>
        <v>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4</v>
      </c>
      <c r="F17" s="404">
        <f>IF(ISNUMBER(E17/B17),E17/B17," - ")</f>
        <v>4</v>
      </c>
      <c r="G17" s="403">
        <f>IF(ISNUMBER(IF(D_I="SI",Datos!K17,Datos!K17+Datos!AE17)),IF(D_I="SI",Datos!K17,Datos!K17+Datos!AE17)," - ")</f>
        <v>3</v>
      </c>
      <c r="H17" s="404">
        <f>IF(ISNUMBER(G17/B17),G17/B17," - ")</f>
        <v>3</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76</v>
      </c>
      <c r="D18" s="850" t="str">
        <f>IF(ISNUMBER(C18/Datos!BI18),C18/Datos!BI18," - ")</f>
        <v xml:space="preserve"> - </v>
      </c>
      <c r="E18" s="849">
        <f>SUBTOTAL(9,E14:E17)</f>
        <v>73</v>
      </c>
      <c r="F18" s="850">
        <f>IF(ISNUMBER(E18/B18),E18/B18," - ")</f>
        <v>73</v>
      </c>
      <c r="G18" s="849">
        <f>SUBTOTAL(9,G14:G17)</f>
        <v>91</v>
      </c>
      <c r="H18" s="850">
        <f>IF(ISNUMBER(G18/B18),G18/B18," - ")</f>
        <v>91</v>
      </c>
      <c r="I18" s="849">
        <f>SUBTOTAL(9,I14:I17)</f>
        <v>78</v>
      </c>
      <c r="J18" s="850">
        <f>IF(ISNUMBER(I18/B18),I18/B18," - ")</f>
        <v>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243</v>
      </c>
      <c r="D19" s="795" t="str">
        <f>IF(ISNUMBER(C19/Datos!BI19),C19/Datos!BI19," - ")</f>
        <v xml:space="preserve"> - </v>
      </c>
      <c r="E19" s="794">
        <f>SUBTOTAL(9,E9:E18)</f>
        <v>188</v>
      </c>
      <c r="F19" s="795">
        <f>IF(ISNUMBER(E19/B19),E19/B19," - ")</f>
        <v>188</v>
      </c>
      <c r="G19" s="794">
        <f>SUBTOTAL(9,G9:G18)</f>
        <v>170</v>
      </c>
      <c r="H19" s="795">
        <f>IF(ISNUMBER(G19/B19),G19/B19," - ")</f>
        <v>170</v>
      </c>
      <c r="I19" s="794">
        <f>SUBTOTAL(9,I9:I18)</f>
        <v>281</v>
      </c>
      <c r="J19" s="795">
        <f>IF(ISNUMBER(I19/B19),I19/B19," - ")</f>
        <v>281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f3yDdGnXPg478DnF3OBSN9Be2N9fMHwnW6XVcuuSGx0x0pFUbXS/TCjFVgxiovVFcZvRxOvVLCQP9yDPAxUeQ==" saltValue="FF4Nu/l/I0WlK2J74RO1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ALCARAZ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7.7088607594936711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1.092896174863388E-2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v>
      </c>
      <c r="AE13" s="939">
        <f t="shared" si="1"/>
        <v>0</v>
      </c>
      <c r="AF13" s="939">
        <f t="shared" si="1"/>
        <v>0</v>
      </c>
      <c r="AG13" s="939">
        <f t="shared" si="1"/>
        <v>0</v>
      </c>
      <c r="AH13" s="939">
        <f t="shared" si="1"/>
        <v>555</v>
      </c>
      <c r="AI13" s="939">
        <f t="shared" si="1"/>
        <v>0</v>
      </c>
      <c r="AJ13" s="939">
        <f t="shared" si="1"/>
        <v>0</v>
      </c>
      <c r="AK13" s="939">
        <f t="shared" si="1"/>
        <v>0</v>
      </c>
      <c r="AL13" s="939">
        <f t="shared" si="1"/>
        <v>14</v>
      </c>
      <c r="AM13" s="939">
        <f t="shared" si="1"/>
        <v>42</v>
      </c>
      <c r="AN13" s="939">
        <f t="shared" si="1"/>
        <v>0</v>
      </c>
      <c r="AO13" s="939">
        <f t="shared" si="1"/>
        <v>0</v>
      </c>
      <c r="AP13" s="944">
        <f>IF(ISNUMBER(((Datos!L13/Datos!K13)*11)/factor_trimestre),((Datos!L13/Datos!K13)*11)/factor_trimestre," - ")</f>
        <v>8.1081081081081088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1.092896174863388E-2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2.5714285714285716</v>
      </c>
      <c r="AQ18" s="944">
        <f>IF(ISNUMBER(((Datos!M18/Datos!L18)*11)/factor_trimestre),((Datos!M18/Datos!L18)*11)/factor_trimestre," - ")</f>
        <v>0.30769230769230771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-0.10309278350515463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v>
      </c>
      <c r="AE19" s="957">
        <f t="shared" si="5"/>
        <v>0</v>
      </c>
      <c r="AF19" s="958">
        <f t="shared" si="5"/>
        <v>0</v>
      </c>
      <c r="AG19" s="958">
        <f t="shared" si="5"/>
        <v>0</v>
      </c>
      <c r="AH19" s="958">
        <f t="shared" si="5"/>
        <v>555</v>
      </c>
      <c r="AI19" s="958">
        <f t="shared" si="5"/>
        <v>0</v>
      </c>
      <c r="AJ19" s="959">
        <f t="shared" si="5"/>
        <v>0</v>
      </c>
      <c r="AK19" s="959">
        <f t="shared" si="5"/>
        <v>0</v>
      </c>
      <c r="AL19" s="951">
        <f t="shared" si="5"/>
        <v>14</v>
      </c>
      <c r="AM19" s="951">
        <f t="shared" si="5"/>
        <v>42</v>
      </c>
      <c r="AN19" s="951">
        <f t="shared" si="5"/>
        <v>0</v>
      </c>
      <c r="AO19" s="951">
        <f t="shared" si="5"/>
        <v>0</v>
      </c>
      <c r="AP19" s="951">
        <f>IF(ISNUMBER(((Datos!L19/Datos!K19)*11)/factor_trimestre),((Datos!L19/Datos!K19)*11)/factor_trimestre," - ")</f>
        <v>5.0545454545454547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8.9126559714795012E-3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3.0878101254294794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fUPN55uKqFhI2TO3l7ZRLbjuhoBRWTML/tA44gGVBe+DeS8LorIGFC32WMHWoQrxORnN5IM2x3WRDGzNmhuiw==" saltValue="HoEKeeeYlOk9xyCdKua54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ALCARAZ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XXFP0NqGECY3aOJKO1plBZnVp/QWna9URQk7qwL3ao6FI3A098QMTJzFLRBRxypKilc7dXT74ubw9pZoR+KNQ==" saltValue="TuH6Au3wRZWzy8PMTVlo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ALCARAZ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14</v>
      </c>
      <c r="E12" s="404">
        <f t="shared" si="0"/>
        <v>14</v>
      </c>
      <c r="F12" s="403">
        <f>IF(ISNUMBER(Datos!N12),Datos!N12," - ")</f>
        <v>42</v>
      </c>
      <c r="G12" s="404">
        <f t="shared" si="1"/>
        <v>42</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14</v>
      </c>
      <c r="E13" s="850">
        <f t="shared" si="0"/>
        <v>14</v>
      </c>
      <c r="F13" s="849">
        <f>SUBTOTAL(9,F9:F12)</f>
        <v>42</v>
      </c>
      <c r="G13" s="850">
        <f t="shared" si="1"/>
        <v>42</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54</v>
      </c>
      <c r="G16" s="404">
        <f t="shared" si="4"/>
        <v>54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56</v>
      </c>
      <c r="G18" s="850">
        <f t="shared" si="4"/>
        <v>56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22</v>
      </c>
      <c r="E19" s="795">
        <f>IF(ISNUMBER(D19/B19),D19/B19," - ")</f>
        <v>22</v>
      </c>
      <c r="F19" s="794">
        <f>SUBTOTAL(9,F8:F18)</f>
        <v>98</v>
      </c>
      <c r="G19" s="795">
        <f>IF(ISNUMBER(F19/B19),F19/B19," - ")</f>
        <v>98</v>
      </c>
      <c r="H19" s="794">
        <f>SUBTOTAL(9,H8:H18)</f>
        <v>36</v>
      </c>
      <c r="I19" s="795">
        <f>IF(ISNUMBER(H19/B19),H19/B19," - ")</f>
        <v>36</v>
      </c>
    </row>
    <row r="22" spans="1:78">
      <c r="A22" s="391" t="str">
        <f>Criterios!A4</f>
        <v>Fecha Informe: 03 jun. 2025</v>
      </c>
    </row>
    <row r="27" spans="1:78">
      <c r="A27" s="414"/>
    </row>
  </sheetData>
  <sheetProtection algorithmName="SHA-512" hashValue="oxhuGGO7vGdyFefPrEfT5a4d7IwFcm4/iq6NQLKzURL0PvfPpyL+3eHmTjo2KgZ2Y4gGq/69TAvuHcVfWo6hoA==" saltValue="ZaDFB/CsRJiG/T+tPSLy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ALCARAZ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13</v>
      </c>
      <c r="D12" s="408">
        <f>IF(ISNUMBER(Datos!R12),Datos!R12," - ")</f>
        <v>555</v>
      </c>
    </row>
    <row r="13" spans="1:4" ht="14.25" thickTop="1" thickBot="1">
      <c r="A13" s="848" t="str">
        <f>Datos!A13</f>
        <v>TOTAL</v>
      </c>
      <c r="B13" s="849">
        <f>SUBTOTAL(9,B9:B12)</f>
        <v>19</v>
      </c>
      <c r="C13" s="853">
        <f>SUBTOTAL(9,C9:C12)</f>
        <v>13</v>
      </c>
      <c r="D13" s="851">
        <f>SUBTOTAL(9,D9:D12)</f>
        <v>555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11</v>
      </c>
    </row>
    <row r="19" spans="1:4" ht="16.5" customHeight="1" thickTop="1" thickBot="1">
      <c r="A19" s="793" t="str">
        <f>Datos!A19</f>
        <v>TOTAL JURISDICCIONES</v>
      </c>
      <c r="B19" s="798">
        <f>SUBTOTAL(9,B8:B18)</f>
        <v>19</v>
      </c>
      <c r="C19" s="799">
        <f>SUBTOTAL(9,C8:C18)</f>
        <v>14</v>
      </c>
      <c r="D19" s="800">
        <f>SUBTOTAL(9,D8:D18)</f>
        <v>566</v>
      </c>
    </row>
    <row r="20" spans="1:4" ht="7.5" customHeight="1"/>
    <row r="21" spans="1:4" ht="6" customHeight="1"/>
    <row r="22" spans="1:4">
      <c r="A22" s="391" t="str">
        <f>Criterios!A4</f>
        <v>Fecha Informe: 03 jun. 2025</v>
      </c>
    </row>
    <row r="27" spans="1:4">
      <c r="A27" s="414"/>
    </row>
  </sheetData>
  <sheetProtection algorithmName="SHA-512" hashValue="DBHs+8U6723Fk+NJR6+4tkI6UsD1V2GHN89OonJPtKbVYJYbl+llC7D9KfFX6fwxG46vQ/SU8BR2rafFW9USKQ==" saltValue="JGvpy+5eWjOgECJcyMU7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ALCARAZ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0.14383561643835616</v>
      </c>
      <c r="C12" s="456">
        <f>IF(ISNUMBER(
   IF(J_V="SI",(Datos!J12-Datos!T12)/Datos!T12,(Datos!J12+Datos!Z12-(Datos!T12+Datos!AH12))/(Datos!T12+Datos!AH12))
     ),IF(J_V="SI",(Datos!J12-Datos!T12)/Datos!T12,(Datos!J12+Datos!Z12-(Datos!T12+Datos!AH12))/(Datos!T12+Datos!AH12))," - ")</f>
        <v>0.16161616161616163</v>
      </c>
      <c r="D12" s="456">
        <f>IF(ISNUMBER(
   IF(J_V="SI",(Datos!K12-Datos!U12)/Datos!U12,(Datos!K12+Datos!AA12-(Datos!U12+Datos!AI12))/(Datos!U12+Datos!AI12))
     ),IF(J_V="SI",(Datos!K12-Datos!U12)/Datos!U12,(Datos!K12+Datos!AA12-(Datos!U12+Datos!AI12))/(Datos!U12+Datos!AI12))," - ")</f>
        <v>9.7222222222222224E-2</v>
      </c>
      <c r="E12" s="456">
        <f>IF(ISNUMBER(
   IF(J_V="SI",(Datos!L12-Datos!V12)/Datos!V12,(Datos!L12+Datos!AB12-(Datos!V12+Datos!AJ12))/(Datos!V12+Datos!AJ12))
     ),IF(J_V="SI",(Datos!L12-Datos!V12)/Datos!V12,(Datos!L12+Datos!AB12-(Datos!V12+Datos!AJ12))/(Datos!V12+Datos!AJ12))," - ")</f>
        <v>0.17341040462427745</v>
      </c>
      <c r="F12" s="456">
        <f>IF(ISNUMBER((Datos!M12-Datos!W12)/Datos!W12),(Datos!M12-Datos!W12)/Datos!W12," - ")</f>
        <v>-0.22222222222222221</v>
      </c>
      <c r="G12" s="457">
        <f>IF(ISNUMBER((Datos!N12-Datos!X12)/Datos!X12),(Datos!N12-Datos!X12)/Datos!X12," - ")</f>
        <v>7.6923076923076927E-2</v>
      </c>
      <c r="H12" s="455">
        <f>IF(ISNUMBER(((NºAsuntos!G12/NºAsuntos!E12)-Datos!BD12)/Datos!BD12),((NºAsuntos!G12/NºAsuntos!E12)-Datos!BD12)/Datos!BD12," - ")</f>
        <v>-5.5434782608695637E-2</v>
      </c>
      <c r="I12" s="456">
        <f>IF(ISNUMBER(((NºAsuntos!I12/NºAsuntos!G12)-Datos!BE12)/Datos!BE12),((NºAsuntos!I12/NºAsuntos!G12)-Datos!BE12)/Datos!BE12," - ")</f>
        <v>6.9437330796809846E-2</v>
      </c>
      <c r="J12" s="461">
        <f>IF(ISNUMBER((('Resol  Asuntos'!D12/NºAsuntos!G12)-Datos!BF12)/Datos!BF12),(('Resol  Asuntos'!D12/NºAsuntos!G12)-Datos!BF12)/Datos!BF12," - ")</f>
        <v>-0.67283349561830574</v>
      </c>
      <c r="K12" s="462">
        <f>IF(ISNUMBER((((NºAsuntos!C12+NºAsuntos!E12)/NºAsuntos!G12)-Datos!BG12)/Datos!BG12),(((NºAsuntos!C12+NºAsuntos!E12)/NºAsuntos!G12)-Datos!BG12)/Datos!BG12," - ")</f>
        <v>4.9031258072849401E-2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0.14383561643835616</v>
      </c>
      <c r="C13" s="855">
        <f>IF(ISNUMBER(
   IF(J_V="SI",(Datos!J13-Datos!T13)/Datos!T13,(Datos!J13+Datos!Z13-(Datos!T13+Datos!AH13))/(Datos!T13+Datos!AH13))
     ),IF(J_V="SI",(Datos!J13-Datos!T13)/Datos!T13,(Datos!J13+Datos!Z13-(Datos!T13+Datos!AH13))/(Datos!T13+Datos!AH13))," - ")</f>
        <v>0.16161616161616163</v>
      </c>
      <c r="D13" s="855">
        <f>IF(ISNUMBER(
   IF(J_V="SI",(Datos!K13-Datos!U13)/Datos!U13,(Datos!K13+Datos!AA13-(Datos!U13+Datos!AI13))/(Datos!U13+Datos!AI13))
     ),IF(J_V="SI",(Datos!K13-Datos!U13)/Datos!U13,(Datos!K13+Datos!AA13-(Datos!U13+Datos!AI13))/(Datos!U13+Datos!AI13))," - ")</f>
        <v>9.7222222222222224E-2</v>
      </c>
      <c r="E13" s="855">
        <f>IF(ISNUMBER(
   IF(J_V="SI",(Datos!L13-Datos!V13)/Datos!V13,(Datos!L13+Datos!AB13-(Datos!V13+Datos!AJ13))/(Datos!V13+Datos!AJ13))
     ),IF(J_V="SI",(Datos!L13-Datos!V13)/Datos!V13,(Datos!L13+Datos!AB13-(Datos!V13+Datos!AJ13))/(Datos!V13+Datos!AJ13))," - ")</f>
        <v>0.17341040462427745</v>
      </c>
      <c r="F13" s="856">
        <f>IF(ISNUMBER((Datos!M13-Datos!W13)/Datos!W13),(Datos!M13-Datos!W13)/Datos!W13," - ")</f>
        <v>-0.22222222222222221</v>
      </c>
      <c r="G13" s="857">
        <f>IF(ISNUMBER((Datos!N13-Datos!X13)/Datos!X13),(Datos!N13-Datos!X13)/Datos!X13," - ")</f>
        <v>7.6923076923076927E-2</v>
      </c>
      <c r="H13" s="857">
        <f>IF(ISNUMBER(((NºAsuntos!G13/NºAsuntos!E13)-Datos!BD13)/Datos!BD13),((NºAsuntos!G13/NºAsuntos!E13)-Datos!BD13)/Datos!BD13," - ")</f>
        <v>-5.5434782608695637E-2</v>
      </c>
      <c r="I13" s="857">
        <f>IF(ISNUMBER(((NºAsuntos!I13/NºAsuntos!G13)-Datos!BE13)/Datos!BE13),((NºAsuntos!I13/NºAsuntos!G13)-Datos!BE13)/Datos!BE13," - ")</f>
        <v>6.9437330796809846E-2</v>
      </c>
      <c r="J13" s="857">
        <f>IF(ISNUMBER((('Resol  Asuntos'!D13/NºAsuntos!G13)-Datos!BF13)/Datos!BF13),(('Resol  Asuntos'!D13/NºAsuntos!G13)-Datos!BF13)/Datos!BF13," - ")</f>
        <v>-0.67283349561830574</v>
      </c>
      <c r="K13" s="857">
        <f>IF(ISNUMBER((((NºAsuntos!C13+NºAsuntos!E13)/NºAsuntos!G13)-Datos!BG13)/Datos!BG13),(((NºAsuntos!C13+NºAsuntos!E13)/NºAsuntos!G13)-Datos!BG13)/Datos!BG13," - ")</f>
        <v>4.9031258072849401E-2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-0.13095238095238096</v>
      </c>
      <c r="C16" s="456">
        <f>IF(ISNUMBER(
   IF(D_I="SI",(Datos!J16-Datos!T16)/Datos!T16,(Datos!J16+Datos!AD16-(Datos!T16+Datos!AL16))/(Datos!T16+Datos!AL16))
     ),IF(D_I="SI",(Datos!J16-Datos!T16)/Datos!T16,(Datos!J16+Datos!AD16-(Datos!T16+Datos!AL16))/(Datos!T16+Datos!AL16))," - ")</f>
        <v>0.18965517241379309</v>
      </c>
      <c r="D16" s="456">
        <f>IF(ISNUMBER(
   IF(D_I="SI",(Datos!K16-Datos!U16)/Datos!U16,(Datos!K16+Datos!AE16-(Datos!U16+Datos!AM16))/(Datos!U16+Datos!AM16))
     ),IF(D_I="SI",(Datos!K16-Datos!U16)/Datos!U16,(Datos!K16+Datos!AE16-(Datos!U16+Datos!AM16))/(Datos!U16+Datos!AM16))," - ")</f>
        <v>0.375</v>
      </c>
      <c r="E16" s="456">
        <f>IF(ISNUMBER(
   IF(D_I="SI",(Datos!L16-Datos!V16)/Datos!V16,(Datos!L16+Datos!AF16-(Datos!V16+Datos!AN16))/(Datos!V16+Datos!AN16))
     ),IF(D_I="SI",(Datos!L16-Datos!V16)/Datos!V16,(Datos!L16+Datos!AF16-(Datos!V16+Datos!AN16))/(Datos!V16+Datos!AN16))," - ")</f>
        <v>-6.3291139240506333E-2</v>
      </c>
      <c r="F16" s="456">
        <f>IF(ISNUMBER((Datos!M16-Datos!W16)/Datos!W16),(Datos!M16-Datos!W16)/Datos!W16," - ")</f>
        <v>0.6</v>
      </c>
      <c r="G16" s="457">
        <f>IF(ISNUMBER((Datos!N16-Datos!X16)/Datos!X16),(Datos!N16-Datos!X16)/Datos!X16," - ")</f>
        <v>0.2558139534883721</v>
      </c>
      <c r="H16" s="455">
        <f>IF(ISNUMBER(((NºAsuntos!G16/NºAsuntos!E16)-Datos!BD16)/Datos!BD16),((NºAsuntos!G16/NºAsuntos!E16)-Datos!BD16)/Datos!BD16," - ")</f>
        <v>0.15579710144927528</v>
      </c>
      <c r="I16" s="456">
        <f>IF(ISNUMBER(((NºAsuntos!I16/NºAsuntos!G16)-Datos!BE16)/Datos!BE16),((NºAsuntos!I16/NºAsuntos!G16)-Datos!BE16)/Datos!BE16," - ")</f>
        <v>-0.31875719217491366</v>
      </c>
      <c r="J16" s="461">
        <f>IF(ISNUMBER((('Resol  Asuntos'!D16/NºAsuntos!G16)-Datos!BF16)/Datos!BF16),(('Resol  Asuntos'!D16/NºAsuntos!G16)-Datos!BF16)/Datos!BF16," - ")</f>
        <v>0.16363636363636366</v>
      </c>
      <c r="K16" s="462">
        <f>IF(ISNUMBER((((NºAsuntos!C16+NºAsuntos!E16)/NºAsuntos!G16)-Datos!BG16)/Datos!BG16),(((NºAsuntos!C16+NºAsuntos!E16)/NºAsuntos!G16)-Datos!BG16)/Datos!BG16," - ")</f>
        <v>-0.27272727272727276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3</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1.6666666666666665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0.55555555555555569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-0.12643678160919541</v>
      </c>
      <c r="C18" s="855">
        <f>IF(ISNUMBER(
   IF(Criterios!B14="SI",(Datos!J18-Datos!T18)/Datos!T18,(Datos!J18+Datos!AD18-(Datos!T18+Datos!AL18))/(Datos!T18+Datos!AL18))
     ),IF(Criterios!B14="SI",(Datos!J18-Datos!T18)/Datos!T18,(Datos!J18+Datos!AD18-(Datos!T18+Datos!AL18))/(Datos!T18+Datos!AL18))," - ")</f>
        <v>0.25862068965517243</v>
      </c>
      <c r="D18" s="855">
        <f>IF(ISNUMBER(
   IF(Criterios!B14="SI",(Datos!K18-Datos!U18)/Datos!U18,(Datos!K18+Datos!AE18-(Datos!U18+Datos!AM18))/(Datos!U18+Datos!AM18))
     ),IF(Criterios!B14="SI",(Datos!K18-Datos!U18)/Datos!U18,(Datos!K18+Datos!AE18-(Datos!U18+Datos!AM18))/(Datos!U18+Datos!AM18))," - ")</f>
        <v>0.37878787878787878</v>
      </c>
      <c r="E18" s="855">
        <f>IF(ISNUMBER(
   IF(Criterios!B14="SI",(Datos!L18-Datos!V18)/Datos!V18,(Datos!L18+Datos!AF18-(Datos!V18+Datos!AN18))/(Datos!V18+Datos!AN18))
     ),IF(Criterios!B14="SI",(Datos!L18-Datos!V18)/Datos!V18,(Datos!L18+Datos!AF18-(Datos!V18+Datos!AN18))/(Datos!V18+Datos!AN18))," - ")</f>
        <v>-2.5000000000000001E-2</v>
      </c>
      <c r="F18" s="856">
        <f>IF(ISNUMBER((Datos!M18-Datos!W18)/Datos!W18),(Datos!M18-Datos!W18)/Datos!W18," - ")</f>
        <v>0.6</v>
      </c>
      <c r="G18" s="857">
        <f>IF(ISNUMBER((Datos!N18-Datos!X18)/Datos!X18),(Datos!N18-Datos!X18)/Datos!X18," - ")</f>
        <v>0.27272727272727271</v>
      </c>
      <c r="H18" s="857">
        <f>IF(ISNUMBER(((NºAsuntos!G18/NºAsuntos!E18)-Datos!BD18)/Datos!BD18),((NºAsuntos!G18/NºAsuntos!E18)-Datos!BD18)/Datos!BD18," - ")</f>
        <v>9.547530095475304E-2</v>
      </c>
      <c r="I18" s="857">
        <f>IF(ISNUMBER(((NºAsuntos!I18/NºAsuntos!G18)-Datos!BE18)/Datos!BE18),((NºAsuntos!I18/NºAsuntos!G18)-Datos!BE18)/Datos!BE18," - ")</f>
        <v>-0.29285714285714293</v>
      </c>
      <c r="J18" s="857">
        <f>IF(ISNUMBER((('Resol  Asuntos'!D18/NºAsuntos!G18)-Datos!BF18)/Datos!BF18),(('Resol  Asuntos'!D18/NºAsuntos!G18)-Datos!BF18)/Datos!BF18," - ")</f>
        <v>0.16043956043956051</v>
      </c>
      <c r="K18" s="857">
        <f>IF(ISNUMBER((((NºAsuntos!C18+NºAsuntos!E18)/NºAsuntos!G18)-Datos!BG18)/Datos!BG18),(((NºAsuntos!C18+NºAsuntos!E18)/NºAsuntos!G18)-Datos!BG18)/Datos!BG18," - ")</f>
        <v>-0.2547176960970064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4.2918454935622317E-2</v>
      </c>
      <c r="C19" s="802">
        <f>IF(ISNUMBER(
   IF(J_V="SI",(Datos!J19-Datos!T19)/Datos!T19,(Datos!J19+Datos!Z19-(Datos!T19+Datos!AH19))/(Datos!T19+Datos!AH19))
     ),IF(J_V="SI",(Datos!J19-Datos!T19)/Datos!T19,(Datos!J19+Datos!Z19-(Datos!T19+Datos!AH19))/(Datos!T19+Datos!AH19))," - ")</f>
        <v>0.19745222929936307</v>
      </c>
      <c r="D19" s="802">
        <f>IF(ISNUMBER(
   IF(J_V="SI",(Datos!K19-Datos!U19)/Datos!U19,(Datos!K19+Datos!AA19-(Datos!U19+Datos!AI19))/(Datos!U19+Datos!AI19))
     ),IF(J_V="SI",(Datos!K19-Datos!U19)/Datos!U19,(Datos!K19+Datos!AA19-(Datos!U19+Datos!AI19))/(Datos!U19+Datos!AI19))," - ")</f>
        <v>0.2318840579710145</v>
      </c>
      <c r="E19" s="802">
        <f>IF(ISNUMBER(
   IF(J_V="SI",(Datos!L19-Datos!V19)/Datos!V19,(Datos!L19+Datos!AB19-(Datos!V19+Datos!AJ19))/(Datos!V19+Datos!AJ19))
     ),IF(J_V="SI",(Datos!L19-Datos!V19)/Datos!V19,(Datos!L19+Datos!AB19-(Datos!V19+Datos!AJ19))/(Datos!V19+Datos!AJ19))," - ")</f>
        <v>0.11067193675889328</v>
      </c>
      <c r="F19" s="803">
        <f>IF(ISNUMBER((Datos!M19-Datos!W19)/Datos!W19),(Datos!M19-Datos!W19)/Datos!W19," - ")</f>
        <v>-4.3478260869565216E-2</v>
      </c>
      <c r="G19" s="804">
        <f>IF(ISNUMBER((Datos!N19-Datos!X19)/Datos!X19),(Datos!N19-Datos!X19)/Datos!X19," - ")</f>
        <v>0.18072289156626506</v>
      </c>
      <c r="H19" s="805">
        <f>IF(ISNUMBER((Tasas!B19-Datos!BD19)/Datos!BD19),(Tasas!B19-Datos!BD19)/Datos!BD19," - ")</f>
        <v>2.8754239901325935E-2</v>
      </c>
      <c r="I19" s="806">
        <f>IF(ISNUMBER((Tasas!C19-Datos!BE19)/Datos!BE19),(Tasas!C19-Datos!BE19)/Datos!BE19," - ")</f>
        <v>-9.8395721925133711E-2</v>
      </c>
      <c r="J19" s="807">
        <f>IF(ISNUMBER((Tasas!D19-Datos!BF19)/Datos!BF19),(Tasas!D19-Datos!BF19)/Datos!BF19," - ")</f>
        <v>-0.59411764705882342</v>
      </c>
      <c r="K19" s="807">
        <f>IF(ISNUMBER((Tasas!E19-Datos!BG19)/Datos!BG19),(Tasas!E19-Datos!BG19)/Datos!BG19," - ")</f>
        <v>-0.10289592760181003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GVA/VGlUYRolqgrecitaQ8FoDSjIHhmXGviFhdWCZe9CR22mRm6I2llvOeUb8hX8hYdH+jLMzNeZbVGbtN/Xg==" saltValue="oEVoXK9WO3rDFG43VWXs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ALCARAZ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0.68695652173913047</v>
      </c>
      <c r="C12" s="443">
        <f>IF(ISNUMBER(NºAsuntos!I12/NºAsuntos!G12),NºAsuntos!I12/NºAsuntos!G12," - ")</f>
        <v>2.5696202531645569</v>
      </c>
      <c r="D12" s="444">
        <f>IF(ISNUMBER('Resol  Asuntos'!D12/NºAsuntos!G12),'Resol  Asuntos'!D12/NºAsuntos!G12," - ")</f>
        <v>0.17721518987341772</v>
      </c>
      <c r="E12" s="445">
        <f>IF(ISNUMBER((NºAsuntos!C12+NºAsuntos!E12)/NºAsuntos!G12),(NºAsuntos!C12+NºAsuntos!E12)/NºAsuntos!G12," - ")</f>
        <v>3.5696202531645569</v>
      </c>
      <c r="G12" s="463"/>
    </row>
    <row r="13" spans="1:7" ht="14.25" thickTop="1" thickBot="1">
      <c r="A13" s="848" t="str">
        <f>Datos!A13</f>
        <v>TOTAL</v>
      </c>
      <c r="B13" s="858">
        <f>IF(ISNUMBER(NºAsuntos!G13/NºAsuntos!E13),NºAsuntos!G13/NºAsuntos!E13," - ")</f>
        <v>0.68695652173913047</v>
      </c>
      <c r="C13" s="859">
        <f>IF(ISNUMBER(NºAsuntos!I13/NºAsuntos!G13),NºAsuntos!I13/NºAsuntos!G13," - ")</f>
        <v>2.5696202531645569</v>
      </c>
      <c r="D13" s="860">
        <f>IF(ISNUMBER('Resol  Asuntos'!D13/NºAsuntos!G13),'Resol  Asuntos'!D13/NºAsuntos!G13," - ")</f>
        <v>0.17721518987341772</v>
      </c>
      <c r="E13" s="861">
        <f>IF(ISNUMBER((NºAsuntos!C13+NºAsuntos!E13)/NºAsuntos!G13),(NºAsuntos!C13+NºAsuntos!E13)/NºAsuntos!G13," - ")</f>
        <v>3.5696202531645569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1.2753623188405796</v>
      </c>
      <c r="C16" s="443">
        <f>IF(ISNUMBER(NºAsuntos!I16/NºAsuntos!G16),NºAsuntos!I16/NºAsuntos!G16," - ")</f>
        <v>0.84090909090909094</v>
      </c>
      <c r="D16" s="444">
        <f>IF(ISNUMBER('Resol  Asuntos'!D16/NºAsuntos!G16),'Resol  Asuntos'!D16/NºAsuntos!G16," - ")</f>
        <v>9.0909090909090912E-2</v>
      </c>
      <c r="E16" s="445">
        <f>IF(ISNUMBER((NºAsuntos!C16+NºAsuntos!E16)/NºAsuntos!G16),(NºAsuntos!C16+NºAsuntos!E16)/NºAsuntos!G16," - ")</f>
        <v>1.6136363636363635</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1.3333333333333333</v>
      </c>
      <c r="D17" s="444">
        <f>IF(ISNUMBER('Resol  Asuntos'!D17/NºAsuntos!G17),'Resol  Asuntos'!D17/NºAsuntos!G17," - ")</f>
        <v>0</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1.2465753424657535</v>
      </c>
      <c r="C18" s="859">
        <f>IF(ISNUMBER(NºAsuntos!I18/NºAsuntos!G18),NºAsuntos!I18/NºAsuntos!G18," - ")</f>
        <v>0.8571428571428571</v>
      </c>
      <c r="D18" s="862">
        <f>IF(ISNUMBER('Resol  Asuntos'!D18/NºAsuntos!G18),'Resol  Asuntos'!D18/NºAsuntos!G18," - ")</f>
        <v>8.7912087912087919E-2</v>
      </c>
      <c r="E18" s="861">
        <f>IF(ISNUMBER((NºAsuntos!C18+NºAsuntos!E18)/NºAsuntos!G18),(NºAsuntos!C18+NºAsuntos!E18)/NºAsuntos!G18," - ")</f>
        <v>1.6373626373626373</v>
      </c>
      <c r="G18" s="463"/>
    </row>
    <row r="19" spans="1:7" ht="15.75" customHeight="1" thickTop="1" thickBot="1">
      <c r="A19" s="793" t="str">
        <f>Datos!A19</f>
        <v>TOTAL JURISDICCIONES</v>
      </c>
      <c r="B19" s="808">
        <f>IF(ISNUMBER(NºAsuntos!G19/NºAsuntos!E19),NºAsuntos!G19/NºAsuntos!E19," - ")</f>
        <v>0.9042553191489362</v>
      </c>
      <c r="C19" s="809">
        <f>IF(ISNUMBER(NºAsuntos!I19/NºAsuntos!G19),NºAsuntos!I19/NºAsuntos!G19," - ")</f>
        <v>1.6529411764705881</v>
      </c>
      <c r="D19" s="810">
        <f>IF(ISNUMBER('Resol  Asuntos'!D19/NºAsuntos!G19),'Resol  Asuntos'!D19/NºAsuntos!G19," - ")</f>
        <v>0.12941176470588237</v>
      </c>
      <c r="E19" s="811">
        <f>IF(ISNUMBER((NºAsuntos!C19+NºAsuntos!E19)/NºAsuntos!G19),(NºAsuntos!C19+NºAsuntos!E19)/NºAsuntos!G19," - ")</f>
        <v>2.5352941176470587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eJMiMJBAdXB3plz68+4fGi3vkAWF4xIWFRY/lj3Afs1Gb0BgQDG2uSXNMy5wfBUGI0GCXzEwn3pL0FD/XdKDw==" saltValue="EK3oe9WIRGcZ1ofH8sii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ALCARAZ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v>
      </c>
      <c r="AJ12" s="229" t="str">
        <f>IF(ISNUMBER(Datos!BW12),Datos!BW12," - ")</f>
        <v xml:space="preserve"> - </v>
      </c>
      <c r="AK12" s="228" t="str">
        <f>IF(ISNUMBER(Datos!BX12),Datos!BX12," - ")</f>
        <v xml:space="preserve"> - </v>
      </c>
      <c r="AL12" s="243">
        <f>IF(ISNUMBER(NºAsuntos!G12/NºAsuntos!E12),NºAsuntos!G12/NºAsuntos!E12," - ")</f>
        <v>0.68695652173913047</v>
      </c>
      <c r="AM12" s="260">
        <f>IF(ISNUMBER(((NºAsuntos!I12/NºAsuntos!G12)*11)/factor_trimestre),((NºAsuntos!I12/NºAsuntos!G12)*11)/factor_trimestre," - ")</f>
        <v>7.7088607594936711</v>
      </c>
      <c r="AN12" s="244">
        <f>IF(ISNUMBER('Resol  Asuntos'!D12/NºAsuntos!G12),'Resol  Asuntos'!D12/NºAsuntos!G12," - ")</f>
        <v>0.17721518987341772</v>
      </c>
      <c r="AO12" s="245">
        <f>IF(ISNUMBER((NºAsuntos!C12+NºAsuntos!E12)/NºAsuntos!G12),(NºAsuntos!C12+NºAsuntos!E12)/NºAsuntos!G12," - ")</f>
        <v>3.5696202531645569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v>
      </c>
      <c r="Y13" s="868">
        <f t="shared" si="4"/>
        <v>13</v>
      </c>
      <c r="Z13" s="868">
        <f t="shared" si="4"/>
        <v>0</v>
      </c>
      <c r="AA13" s="868">
        <f t="shared" si="4"/>
        <v>0</v>
      </c>
      <c r="AB13" s="868">
        <f t="shared" si="4"/>
        <v>555</v>
      </c>
      <c r="AC13" s="868">
        <f t="shared" si="4"/>
        <v>0</v>
      </c>
      <c r="AD13" s="868">
        <f t="shared" si="4"/>
        <v>0</v>
      </c>
      <c r="AE13" s="872">
        <f t="shared" si="4"/>
        <v>0</v>
      </c>
      <c r="AF13" s="865">
        <f t="shared" si="4"/>
        <v>0</v>
      </c>
      <c r="AG13" s="873">
        <f t="shared" si="4"/>
        <v>0</v>
      </c>
      <c r="AH13" s="870">
        <f t="shared" si="4"/>
        <v>0</v>
      </c>
      <c r="AI13" s="865">
        <f t="shared" si="4"/>
        <v>14</v>
      </c>
      <c r="AJ13" s="867">
        <f t="shared" si="4"/>
        <v>0</v>
      </c>
      <c r="AK13" s="870">
        <f>SUBTOTAL(9,AK9:AK12)</f>
        <v>0</v>
      </c>
      <c r="AL13" s="874">
        <f>IF(ISNUMBER(NºAsuntos!G13/NºAsuntos!E13),NºAsuntos!G13/NºAsuntos!E13," - ")</f>
        <v>0.68695652173913047</v>
      </c>
      <c r="AM13" s="874">
        <f>IF(ISNUMBER(((NºAsuntos!I13/NºAsuntos!G13)*11)/factor_trimestre),((NºAsuntos!I13/NºAsuntos!G13)*11)/factor_trimestre," - ")</f>
        <v>7.7088607594936711</v>
      </c>
      <c r="AN13" s="875">
        <f>IF(ISNUMBER('Resol  Asuntos'!D13/NºAsuntos!G13),'Resol  Asuntos'!D13/NºAsuntos!G13," - ")</f>
        <v>0.17721518987341772</v>
      </c>
      <c r="AO13" s="876">
        <f>IF(ISNUMBER((NºAsuntos!C13+NºAsuntos!E13)/NºAsuntos!G13),(NºAsuntos!C13+NºAsuntos!E13)/NºAsuntos!G13," - ")</f>
        <v>3.5696202531645569</v>
      </c>
      <c r="AP13" s="877" t="str">
        <f t="shared" si="2"/>
        <v xml:space="preserve"> - </v>
      </c>
      <c r="AQ13" s="877" t="str">
        <f>IF(ISNUMBER((H13-W13+K13)/(F13)),(H13-W13+K13)/(F13)," - ")</f>
        <v xml:space="preserve"> - </v>
      </c>
      <c r="AR13" s="878">
        <f>IF(ISNUMBER((Datos!P13-Datos!Q13)/(Datos!R13-Datos!P13+Datos!Q13)),(Datos!P13-Datos!Q13)/(Datos!R13-Datos!P13+Datos!Q13)," - ")</f>
        <v>1.092896174863388E-2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93</v>
      </c>
      <c r="G16" s="333">
        <f>IF(ISNUMBER(IF(D_I="SI",Datos!I16,Datos!I16+Datos!AC16)),IF(D_I="SI",Datos!I16,Datos!I16+Datos!AC16)," - ")</f>
        <v>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v>
      </c>
      <c r="X16" s="226">
        <f>IF(ISNUMBER(Datos!Q16),Datos!Q16," - ")</f>
        <v>1</v>
      </c>
      <c r="Y16" s="334">
        <f t="shared" ref="Y16:Y17" si="7">SUM(W16:X16)</f>
        <v>89</v>
      </c>
      <c r="Z16" s="335" t="str">
        <f>IF(ISNUMBER(Datos!CC16),Datos!CC16," - ")</f>
        <v xml:space="preserve"> - </v>
      </c>
      <c r="AA16" s="332">
        <f>IF(ISNUMBER(IF(D_I="SI",Datos!L16,Datos!L16+Datos!AF16)),IF(D_I="SI",Datos!L16,Datos!L16+Datos!AF16)," - ")</f>
        <v>74</v>
      </c>
      <c r="AB16" s="334">
        <f>IF(ISNUMBER(Datos!R16),Datos!R16," - ")</f>
        <v>11</v>
      </c>
      <c r="AC16" s="334">
        <f t="shared" si="6"/>
        <v>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1.2753623188405796</v>
      </c>
      <c r="AM16" s="260">
        <f>IF(ISNUMBER(((NºAsuntos!I16/NºAsuntos!G16)*11)/factor_trimestre),((NºAsuntos!I16/NºAsuntos!G16)*11)/factor_trimestre," - ")</f>
        <v>2.5227272727272729</v>
      </c>
      <c r="AN16" s="244">
        <f>IF(ISNUMBER('Resol  Asuntos'!D16/NºAsuntos!G16),'Resol  Asuntos'!D16/NºAsuntos!G16," - ")</f>
        <v>9.0909090909090912E-2</v>
      </c>
      <c r="AO16" s="245">
        <f>IF(ISNUMBER((NºAsuntos!C16+NºAsuntos!E16)/NºAsuntos!G16),(NºAsuntos!C16+NºAsuntos!E16)/NºAsuntos!G16," - ")</f>
        <v>1.6136363636363635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4</v>
      </c>
      <c r="AN17" s="244">
        <f>IF(ISNUMBER('Resol  Asuntos'!D17/NºAsuntos!G17),'Resol  Asuntos'!D17/NºAsuntos!G17," - ")</f>
        <v>0</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93</v>
      </c>
      <c r="G18" s="866">
        <f>SUBTOTAL(9,G15:G17)</f>
        <v>76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v>
      </c>
      <c r="X18" s="867">
        <f t="shared" si="11"/>
        <v>1</v>
      </c>
      <c r="Y18" s="868">
        <f t="shared" si="11"/>
        <v>92</v>
      </c>
      <c r="Z18" s="868">
        <f t="shared" si="11"/>
        <v>0</v>
      </c>
      <c r="AA18" s="868">
        <f t="shared" si="11"/>
        <v>78</v>
      </c>
      <c r="AB18" s="868">
        <f t="shared" si="11"/>
        <v>11</v>
      </c>
      <c r="AC18" s="868">
        <f t="shared" si="11"/>
        <v>89</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1.2465753424657535</v>
      </c>
      <c r="AM18" s="874">
        <f>IF(ISNUMBER(((NºAsuntos!I18/NºAsuntos!G18)*11)/factor_trimestre),((NºAsuntos!I18/NºAsuntos!G18)*11)/factor_trimestre," - ")</f>
        <v>2.5714285714285716</v>
      </c>
      <c r="AN18" s="875">
        <f>IF(ISNUMBER('Resol  Asuntos'!D18/NºAsuntos!G18),'Resol  Asuntos'!D18/NºAsuntos!G18," - ")</f>
        <v>8.7912087912087919E-2</v>
      </c>
      <c r="AO18" s="876">
        <f>IF(ISNUMBER((NºAsuntos!C18+NºAsuntos!E18)/NºAsuntos!G18),(NºAsuntos!C18+NºAsuntos!E18)/NºAsuntos!G18," - ")</f>
        <v>1.6373626373626373</v>
      </c>
      <c r="AP18" s="877" t="str">
        <f t="shared" si="2"/>
        <v xml:space="preserve"> - </v>
      </c>
      <c r="AQ18" s="877">
        <f>IF(ISNUMBER((H18-W18+K18)/(F18)),(H18-W18+K18)/(F18)," - ")</f>
        <v>-0.978494623655914</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93</v>
      </c>
      <c r="G19" s="821">
        <f t="shared" si="13"/>
        <v>76</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v>
      </c>
      <c r="X19" s="821">
        <f t="shared" si="14"/>
        <v>14</v>
      </c>
      <c r="Y19" s="828">
        <f t="shared" si="14"/>
        <v>105</v>
      </c>
      <c r="Z19" s="828">
        <f t="shared" si="14"/>
        <v>0</v>
      </c>
      <c r="AA19" s="828">
        <f t="shared" si="14"/>
        <v>78</v>
      </c>
      <c r="AB19" s="828">
        <f t="shared" si="14"/>
        <v>566</v>
      </c>
      <c r="AC19" s="828">
        <f t="shared" si="14"/>
        <v>89</v>
      </c>
      <c r="AD19" s="828">
        <f t="shared" si="14"/>
        <v>0</v>
      </c>
      <c r="AE19" s="830">
        <f t="shared" si="14"/>
        <v>0</v>
      </c>
      <c r="AF19" s="831">
        <f t="shared" si="14"/>
        <v>0</v>
      </c>
      <c r="AG19" s="832">
        <f t="shared" si="14"/>
        <v>0</v>
      </c>
      <c r="AH19" s="830">
        <f t="shared" si="14"/>
        <v>0</v>
      </c>
      <c r="AI19" s="820">
        <f t="shared" si="14"/>
        <v>22</v>
      </c>
      <c r="AJ19" s="820">
        <f t="shared" si="14"/>
        <v>0</v>
      </c>
      <c r="AK19" s="830">
        <f t="shared" si="14"/>
        <v>0</v>
      </c>
      <c r="AL19" s="884">
        <f>IF(ISNUMBER(NºAsuntos!G19/NºAsuntos!E19),NºAsuntos!G19/NºAsuntos!E19," - ")</f>
        <v>0.9042553191489362</v>
      </c>
      <c r="AM19" s="885">
        <f>IF(ISNUMBER(((NºAsuntos!I19/NºAsuntos!G19)*11)/factor_trimestre),((NºAsuntos!I19/NºAsuntos!G19)*11)/factor_trimestre," - ")</f>
        <v>4.958823529411764</v>
      </c>
      <c r="AN19" s="885">
        <f>IF(ISNUMBER('Resol  Asuntos'!D19/NºAsuntos!G19),'Resol  Asuntos'!D19/NºAsuntos!G19," - ")</f>
        <v>0.12941176470588237</v>
      </c>
      <c r="AO19" s="886">
        <f>IF(ISNUMBER((NºAsuntos!C19+NºAsuntos!E19)/NºAsuntos!G19),(NºAsuntos!C19+NºAsuntos!E19)/NºAsuntos!G19," - ")</f>
        <v>2.5352941176470587</v>
      </c>
      <c r="AP19" s="887" t="str">
        <f t="shared" si="2"/>
        <v xml:space="preserve"> - </v>
      </c>
      <c r="AQ19" s="888">
        <f>IF(OR(ISNUMBER(FIND("01",Criterios!A8,1)),ISNUMBER(FIND("02",Criterios!A8,1)),ISNUMBER(FIND("03",Criterios!A8,1)),ISNUMBER(FIND("04",Criterios!A8,1))),(I19-W19+K19)/(F19-K19),(H19-W19+K19)/(F19-K19))</f>
        <v>-0.978494623655914</v>
      </c>
      <c r="AR19" s="889">
        <f>IF(ISNUMBER((Datos!P19-Datos!Q19)/(Datos!R19-Datos!P19+Datos!Q19)),(Datos!P19-Datos!Q19)/(Datos!R19-Datos!P19+Datos!Q19)," - ")</f>
        <v>8.9126559714795012E-3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53.693575034635195</v>
      </c>
      <c r="G21" s="253">
        <f>IF(ISNUMBER(STDEV(G8:G18)),STDEV(G8:G18),"-")</f>
        <v>40.290197318950923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48.500515461178352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6.2822501276745308</v>
      </c>
      <c r="AJ21" s="252">
        <f t="shared" si="18"/>
        <v>0</v>
      </c>
      <c r="AK21" s="254">
        <f t="shared" si="18"/>
        <v>0</v>
      </c>
      <c r="AL21" s="249">
        <f t="shared" si="18"/>
        <v>0.30415123707309555</v>
      </c>
      <c r="AM21" s="250">
        <f t="shared" si="18"/>
        <v>2.6297832532306527</v>
      </c>
      <c r="AN21" s="250">
        <f t="shared" si="18"/>
        <v>7.4047282380381343E-2</v>
      </c>
      <c r="AO21" s="251">
        <f t="shared" si="18"/>
        <v>0.9792522021939527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nZ3DlJWY9BIY41X2QTM4Z/nJIzjs5fIH1mI4ulFxgk69L73Ornnl8wLFU/taq978i0fAWD4g3aS9G7CH5joOQ==" saltValue="T5meGP143umPKRLtr6gTD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ALCARAZ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-0.22222222222222221</v>
      </c>
      <c r="I12" s="350">
        <f>IF(ISNUMBER((Tasas!C12-Datos!BE12)/Datos!BE12),(Tasas!C12-Datos!BE12)/Datos!BE12," - ")</f>
        <v>6.9437330796809846E-2</v>
      </c>
      <c r="J12" s="349">
        <f>IF(ISNUMBER((Tasas!D12-Datos!BF12)/Datos!BF12),(Tasas!D12-Datos!BF12)/Datos!BF12," - ")</f>
        <v>-0.67283349561830574</v>
      </c>
      <c r="K12" s="351">
        <f>IF(ISNUMBER((Tasas!E12-Datos!BG12)/Datos!BG12),(Tasas!E12-Datos!BG12)/Datos!BG12," - ")</f>
        <v>4.9031258072849401E-2</v>
      </c>
      <c r="M12" t="e">
        <f>IF(Monitorios="SI",Datos!CE12,0)</f>
        <v>#REF!</v>
      </c>
      <c r="N12" t="e">
        <f>IF(Monitorios="SI",Datos!CF12,0)</f>
        <v>#REF!</v>
      </c>
      <c r="O12" t="e">
        <f>IF(Monitorios="SI",Datos!CG12,0)</f>
        <v>#REF!</v>
      </c>
      <c r="P12" t="e">
        <f>IF(Monitorios="SI",Datos!CH12,0)</f>
        <v>#REF!</v>
      </c>
      <c r="Q12">
        <f>IF(J_V="SI",0,Datos!AG12)</f>
        <v>0</v>
      </c>
      <c r="R12">
        <f>IF(J_V="SI",0,Datos!AH12)</f>
        <v>8</v>
      </c>
      <c r="S12">
        <f>IF(J_V="SI",0,Datos!AI12)</f>
        <v>5</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-0.22222222222222221</v>
      </c>
      <c r="I13" s="357">
        <f>IF(ISNUMBER((Tasas!C13-Datos!BE13)/Datos!BE13),(Tasas!C13-Datos!BE13)/Datos!BE13," - ")</f>
        <v>6.9437330796809846E-2</v>
      </c>
      <c r="J13" s="355">
        <f>IF(ISNUMBER((Tasas!D13-Datos!BF13)/Datos!BF13),(Tasas!D13-Datos!BF13)/Datos!BF13," - ")</f>
        <v>-0.67283349561830574</v>
      </c>
      <c r="K13" s="358">
        <f>IF(ISNUMBER((Tasas!E13-Datos!BG13)/Datos!BG13),(Tasas!E13-Datos!BG13)/Datos!BG13," - ")</f>
        <v>4.9031258072849401E-2</v>
      </c>
      <c r="M13" t="e">
        <f>IF(Monitorios="SI",Datos!CE13,0)</f>
        <v>#REF!</v>
      </c>
      <c r="N13" t="e">
        <f>IF(Monitorios="SI",Datos!CF13,0)</f>
        <v>#REF!</v>
      </c>
      <c r="O13" t="e">
        <f>IF(Monitorios="SI",Datos!CG13,0)</f>
        <v>#REF!</v>
      </c>
      <c r="P13" t="e">
        <f>IF(Monitorios="SI",Datos!CH13,0)</f>
        <v>#REF!</v>
      </c>
      <c r="Q13">
        <f>IF(J_V="SI",0,Datos!AG13)</f>
        <v>0</v>
      </c>
      <c r="R13">
        <f>IF(J_V="SI",0,Datos!AH13)</f>
        <v>8</v>
      </c>
      <c r="S13">
        <f>IF(J_V="SI",0,Datos!AI13)</f>
        <v>5</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-0.13095238095238096</v>
      </c>
      <c r="E16" s="348">
        <f>IF(ISNUMBER(
   IF(D_I="SI",(Datos!J16-Datos!T16)/Datos!T16,(Datos!J16+Datos!AD16-(Datos!T16+Datos!AL16))/(Datos!T16+Datos!AL16))
     ),IF(D_I="SI",(Datos!J16-Datos!T16)/Datos!T16,(Datos!J16+Datos!AD16-(Datos!T16+Datos!AL16))/(Datos!T16+Datos!AL16))," - ")</f>
        <v>0.18965517241379309</v>
      </c>
      <c r="F16" s="348">
        <f>IF(ISNUMBER(
   IF(D_I="SI",(Datos!K16-Datos!U16)/Datos!U16,(Datos!K16+Datos!AE16-(Datos!U16+Datos!AM16))/(Datos!U16+Datos!AM16))
     ),IF(D_I="SI",(Datos!K16-Datos!U16)/Datos!U16,(Datos!K16+Datos!AE16-(Datos!U16+Datos!AM16))/(Datos!U16+Datos!AM16))," - ")</f>
        <v>0.375</v>
      </c>
      <c r="G16" s="349">
        <f>IF(ISNUMBER(
   IF(D_I="SI",(Datos!L16-Datos!V16)/Datos!V16,(Datos!L16+Datos!AF16-(Datos!V16+Datos!AN16))/(Datos!V16+Datos!AN16))
     ),IF(D_I="SI",(Datos!L16-Datos!V16)/Datos!V16,(Datos!L16+Datos!AF16-(Datos!V16+Datos!AN16))/(Datos!V16+Datos!AN16))," - ")</f>
        <v>-6.3291139240506333E-2</v>
      </c>
      <c r="H16" s="230">
        <f>IF(ISNUMBER((Datos!M16-Datos!W16)/Datos!W16),(Datos!M16-Datos!W16)/Datos!W16," - ")</f>
        <v>0.6</v>
      </c>
      <c r="I16" s="350">
        <f>IF(ISNUMBER((Tasas!C16-Datos!BE16)/Datos!BE16),(Tasas!C16-Datos!BE16)/Datos!BE16," - ")</f>
        <v>-0.31875719217491366</v>
      </c>
      <c r="J16" s="349">
        <f>IF(ISNUMBER((Tasas!D16-Datos!BF16)/Datos!BF16),(Tasas!D16-Datos!BF16)/Datos!BF16," - ")</f>
        <v>0.16363636363636366</v>
      </c>
      <c r="K16" s="351">
        <f>IF(ISNUMBER((Tasas!E16-Datos!BG16)/Datos!BG16),(Tasas!E16-Datos!BG16)/Datos!BG16," - ")</f>
        <v>-0.27272727272727276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3</v>
      </c>
      <c r="H17" s="230" t="str">
        <f>IF(ISNUMBER((Datos!M17-Datos!W17)/Datos!W17),(Datos!M17-Datos!W17)/Datos!W17," - ")</f>
        <v xml:space="preserve"> - </v>
      </c>
      <c r="I17" s="350">
        <f>IF(ISNUMBER((Tasas!C17-Datos!BE17)/Datos!BE17),(Tasas!C17-Datos!BE17)/Datos!BE17," - ")</f>
        <v>1.6666666666666665</v>
      </c>
      <c r="J17" s="349" t="str">
        <f>IF(ISNUMBER((Tasas!D17-Datos!BF17)/Datos!BF17),(Tasas!D17-Datos!BF17)/Datos!BF17," - ")</f>
        <v xml:space="preserve"> - </v>
      </c>
      <c r="K17" s="351">
        <f>IF(ISNUMBER((Tasas!E17-Datos!BG17)/Datos!BG17),(Tasas!E17-Datos!BG17)/Datos!BG17," - ")</f>
        <v>0.55555555555555569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-0.12643678160919541</v>
      </c>
      <c r="E18" s="354">
        <f>IF(ISNUMBER(
   IF(D_I="SI",(Datos!J18-Datos!T18)/Datos!T18,(Datos!J18+Datos!AD18-(Datos!T18+Datos!AL18))/(Datos!T18+Datos!AL18))
     ),IF(D_I="SI",(Datos!J18-Datos!T18)/Datos!T18,(Datos!J18+Datos!AD18-(Datos!T18+Datos!AL18))/(Datos!T18+Datos!AL18))," - ")</f>
        <v>0.25862068965517243</v>
      </c>
      <c r="F18" s="354">
        <f>IF(ISNUMBER(
   IF(D_I="SI",(Datos!K18-Datos!U18)/Datos!U18,(Datos!K18+Datos!AE18-(Datos!U18+Datos!AM18))/(Datos!U18+Datos!AM18))
     ),IF(D_I="SI",(Datos!K18-Datos!U18)/Datos!U18,(Datos!K18+Datos!AE18-(Datos!U18+Datos!AM18))/(Datos!U18+Datos!AM18))," - ")</f>
        <v>0.37878787878787878</v>
      </c>
      <c r="G18" s="355">
        <f>IF(ISNUMBER(
   IF(D_I="SI",(Datos!L18-Datos!V18)/Datos!V18,(Datos!L18+Datos!AF18-(Datos!V18+Datos!AN18))/(Datos!V18+Datos!AN18))
     ),IF(D_I="SI",(Datos!L18-Datos!V18)/Datos!V18,(Datos!L18+Datos!AF18-(Datos!V18+Datos!AN18))/(Datos!V18+Datos!AN18))," - ")</f>
        <v>-2.5000000000000001E-2</v>
      </c>
      <c r="H18" s="356">
        <f>IF(ISNUMBER((Datos!M18-Datos!W18)/Datos!W18),(Datos!M18-Datos!W18)/Datos!W18," - ")</f>
        <v>0.6</v>
      </c>
      <c r="I18" s="357">
        <f>IF(ISNUMBER((Tasas!C18-Datos!BE18)/Datos!BE18),(Tasas!C18-Datos!BE18)/Datos!BE18," - ")</f>
        <v>-0.29285714285714293</v>
      </c>
      <c r="J18" s="355">
        <f>IF(ISNUMBER((Tasas!D18-Datos!BF18)/Datos!BF18),(Tasas!D18-Datos!BF18)/Datos!BF18," - ")</f>
        <v>0.16043956043956051</v>
      </c>
      <c r="K18" s="358">
        <f>IF(ISNUMBER((Tasas!E18-Datos!BG18)/Datos!BG18),(Tasas!E18-Datos!BG18)/Datos!BG18," - ")</f>
        <v>-0.2547176960970064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4.2918454935622317E-2</v>
      </c>
      <c r="E19" s="363">
        <f>IF(ISNUMBER(
   IF(J_V="SI",(Datos!J19-Datos!T19)/Datos!T19,(Datos!J19+Datos!Z19-(Datos!T19+Datos!AH19))/(Datos!T19+Datos!AH19))
     ),IF(J_V="SI",(Datos!J19-Datos!T19)/Datos!T19,(Datos!J19+Datos!Z19-(Datos!T19+Datos!AH19))/(Datos!T19+Datos!AH19))," - ")</f>
        <v>0.19745222929936307</v>
      </c>
      <c r="F19" s="363">
        <f>IF(ISNUMBER(
   IF(J_V="SI",(Datos!K19-Datos!U19)/Datos!U19,(Datos!K19+Datos!AA19-(Datos!U19+Datos!AI19))/(Datos!U19+Datos!AI19))
     ),IF(J_V="SI",(Datos!K19-Datos!U19)/Datos!U19,(Datos!K19+Datos!AA19-(Datos!U19+Datos!AI19))/(Datos!U19+Datos!AI19))," - ")</f>
        <v>0.2318840579710145</v>
      </c>
      <c r="G19" s="364">
        <f>IF(ISNUMBER(
   IF(J_V="SI",(Datos!L19-Datos!V19)/Datos!V19,(Datos!L19+Datos!AB19-(Datos!V19+Datos!AJ19))/(Datos!V19+Datos!AJ19))
     ),IF(J_V="SI",(Datos!L19-Datos!V19)/Datos!V19,(Datos!L19+Datos!AB19-(Datos!V19+Datos!AJ19))/(Datos!V19+Datos!AJ19))," - ")</f>
        <v>0.11067193675889328</v>
      </c>
      <c r="H19" s="365">
        <f>IF(ISNUMBER((Datos!M19-Datos!W19)/Datos!W19),(Datos!M19-Datos!W19)/Datos!W19," - ")</f>
        <v>-4.3478260869565216E-2</v>
      </c>
      <c r="I19" s="362">
        <f>IF(ISNUMBER((Tasas!C19-Datos!BE19)/Datos!BE19),(Tasas!C19-Datos!BE19)/Datos!BE19," - ")</f>
        <v>-9.8395721925133711E-2</v>
      </c>
      <c r="J19" s="363">
        <f>IF(ISNUMBER((Tasas!D19-Datos!BF19)/Datos!BF19),(Tasas!D19-Datos!BF19)/Datos!BF19," - ")</f>
        <v>-0.59411764705882342</v>
      </c>
      <c r="K19" s="364">
        <f>IF(ISNUMBER((Tasas!E19-Datos!BG19)/Datos!BG19),(Tasas!E19-Datos!BG19)/Datos!BG19," - ")</f>
        <v>-0.10289592760181003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7.4336146947741197E-2</v>
      </c>
      <c r="E21" s="278">
        <f t="shared" si="1"/>
        <v>4.8765984909417054E-2</v>
      </c>
      <c r="F21" s="278">
        <f t="shared" si="1"/>
        <v>7.1100546592429287E-2</v>
      </c>
      <c r="G21" s="279">
        <f t="shared" si="1"/>
        <v>1.7576425411657577</v>
      </c>
      <c r="H21" s="285">
        <f t="shared" si="1"/>
        <v>0.47471022133369234</v>
      </c>
      <c r="I21" s="277">
        <f t="shared" si="1"/>
        <v>0.82001524135957871</v>
      </c>
      <c r="J21" s="278">
        <f t="shared" si="1"/>
        <v>0.48201502763034298</v>
      </c>
      <c r="K21" s="279">
        <f t="shared" si="1"/>
        <v>0.33523403894195963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nUxOsgTPJFTTT014QxEDnVrd70qyurZ5+zaDttAgNW87ynQvqHxNPZ+siInIpmhHWfbpQZEg5X8SeCgZ/d7pw==" saltValue="kFBys4D4eqBh6pewRspn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